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km12_000\Downloads\"/>
    </mc:Choice>
  </mc:AlternateContent>
  <bookViews>
    <workbookView xWindow="0" yWindow="0" windowWidth="13155" windowHeight="11835" tabRatio="421" firstSheet="3" activeTab="4"/>
  </bookViews>
  <sheets>
    <sheet name="штат (2)" sheetId="10" state="hidden" r:id="rId1"/>
    <sheet name="Дошка оголошень" sheetId="4" state="hidden" r:id="rId2"/>
    <sheet name="расчет" sheetId="5" state="hidden" r:id="rId3"/>
    <sheet name="штат" sheetId="6" r:id="rId4"/>
    <sheet name="кошторис" sheetId="14" r:id="rId5"/>
    <sheet name="структура" sheetId="9" r:id="rId6"/>
    <sheet name="2014" sheetId="12" r:id="rId7"/>
    <sheet name="2015-1" sheetId="7" r:id="rId8"/>
    <sheet name="2015-2" sheetId="13" r:id="rId9"/>
    <sheet name="Sheet2" sheetId="16" r:id="rId10"/>
    <sheet name="расчет тарифа" sheetId="8" r:id="rId11"/>
    <sheet name="ЖЕК" sheetId="3" state="hidden" r:id="rId12"/>
  </sheets>
  <externalReferences>
    <externalReference r:id="rId13"/>
  </externalReferences>
  <definedNames>
    <definedName name="_xlnm._FilterDatabase" localSheetId="6" hidden="1">'2014'!$A$2:$H$53</definedName>
    <definedName name="_xlnm._FilterDatabase" localSheetId="7" hidden="1">'2015-1'!$A$2:$H$53</definedName>
    <definedName name="_xlnm._FilterDatabase" localSheetId="8" hidden="1">'2015-2'!$A$2:$H$53</definedName>
    <definedName name="_xlnm._FilterDatabase" localSheetId="11" hidden="1">ЖЕК!$A$3:$S$3</definedName>
    <definedName name="_xlnm._FilterDatabase" localSheetId="2" hidden="1">расчет!$A$1:$F$119</definedName>
    <definedName name="_xlnm._FilterDatabase" localSheetId="10" hidden="1">'расчет тарифа'!$A$2:$B$22</definedName>
    <definedName name="_xlnm._FilterDatabase" localSheetId="5" hidden="1">структура!$B$4:$E$22</definedName>
    <definedName name="_xlnm.Print_Titles" localSheetId="10">'расчет тарифа'!$A:$A</definedName>
  </definedNames>
  <calcPr calcId="152511"/>
</workbook>
</file>

<file path=xl/calcChain.xml><?xml version="1.0" encoding="utf-8"?>
<calcChain xmlns="http://schemas.openxmlformats.org/spreadsheetml/2006/main">
  <c r="G52" i="13" l="1"/>
  <c r="C75" i="14"/>
  <c r="D28" i="16" l="1"/>
  <c r="E28" i="16"/>
  <c r="F28" i="16"/>
  <c r="G28" i="16"/>
  <c r="H28" i="16"/>
  <c r="I28" i="16"/>
  <c r="J28" i="16"/>
  <c r="K28" i="16"/>
  <c r="D29" i="16"/>
  <c r="E29" i="16"/>
  <c r="F29" i="16"/>
  <c r="G29" i="16"/>
  <c r="H29" i="16"/>
  <c r="I29" i="16"/>
  <c r="J29" i="16"/>
  <c r="K29" i="16"/>
  <c r="D30" i="16"/>
  <c r="E30" i="16"/>
  <c r="F30" i="16"/>
  <c r="G30" i="16"/>
  <c r="H30" i="16"/>
  <c r="I30" i="16"/>
  <c r="J30" i="16"/>
  <c r="K30" i="16"/>
  <c r="D31" i="16"/>
  <c r="E31" i="16"/>
  <c r="F31" i="16"/>
  <c r="G31" i="16"/>
  <c r="H31" i="16"/>
  <c r="I31" i="16"/>
  <c r="J31" i="16"/>
  <c r="K31" i="16"/>
  <c r="E27" i="16"/>
  <c r="F27" i="16"/>
  <c r="G27" i="16"/>
  <c r="H27" i="16"/>
  <c r="I27" i="16"/>
  <c r="J27" i="16"/>
  <c r="K27" i="16"/>
  <c r="D27" i="16"/>
  <c r="E21" i="16"/>
  <c r="F21" i="16"/>
  <c r="G21" i="16"/>
  <c r="H21" i="16"/>
  <c r="I21" i="16"/>
  <c r="J21" i="16"/>
  <c r="K21" i="16"/>
  <c r="E22" i="16"/>
  <c r="F22" i="16"/>
  <c r="G22" i="16"/>
  <c r="H22" i="16"/>
  <c r="I22" i="16"/>
  <c r="J22" i="16"/>
  <c r="K22" i="16"/>
  <c r="E23" i="16"/>
  <c r="F23" i="16"/>
  <c r="G23" i="16"/>
  <c r="H23" i="16"/>
  <c r="I23" i="16"/>
  <c r="J23" i="16"/>
  <c r="K23" i="16"/>
  <c r="E24" i="16"/>
  <c r="F24" i="16"/>
  <c r="G24" i="16"/>
  <c r="H24" i="16"/>
  <c r="I24" i="16"/>
  <c r="J24" i="16"/>
  <c r="K24" i="16"/>
  <c r="E25" i="16"/>
  <c r="F25" i="16"/>
  <c r="G25" i="16"/>
  <c r="H25" i="16"/>
  <c r="I25" i="16"/>
  <c r="J25" i="16"/>
  <c r="K25" i="16"/>
  <c r="D22" i="16"/>
  <c r="D23" i="16"/>
  <c r="D24" i="16"/>
  <c r="D25" i="16"/>
  <c r="D21" i="16"/>
  <c r="D16" i="16"/>
  <c r="E16" i="16"/>
  <c r="F16" i="16"/>
  <c r="G16" i="16"/>
  <c r="H16" i="16"/>
  <c r="I16" i="16"/>
  <c r="J16" i="16"/>
  <c r="K16" i="16"/>
  <c r="D17" i="16"/>
  <c r="E17" i="16"/>
  <c r="F17" i="16"/>
  <c r="G17" i="16"/>
  <c r="H17" i="16"/>
  <c r="I17" i="16"/>
  <c r="J17" i="16"/>
  <c r="K17" i="16"/>
  <c r="D18" i="16"/>
  <c r="E18" i="16"/>
  <c r="F18" i="16"/>
  <c r="G18" i="16"/>
  <c r="H18" i="16"/>
  <c r="I18" i="16"/>
  <c r="J18" i="16"/>
  <c r="K18" i="16"/>
  <c r="D19" i="16"/>
  <c r="E19" i="16"/>
  <c r="F19" i="16"/>
  <c r="G19" i="16"/>
  <c r="H19" i="16"/>
  <c r="I19" i="16"/>
  <c r="J19" i="16"/>
  <c r="K19" i="16"/>
  <c r="E15" i="16"/>
  <c r="F15" i="16"/>
  <c r="G15" i="16"/>
  <c r="H15" i="16"/>
  <c r="I15" i="16"/>
  <c r="J15" i="16"/>
  <c r="K15" i="16"/>
  <c r="D15" i="16"/>
  <c r="G50" i="13" l="1"/>
  <c r="C34" i="13"/>
  <c r="C33" i="13"/>
  <c r="C31" i="13"/>
  <c r="G50" i="7"/>
  <c r="C31" i="7"/>
  <c r="G31" i="7" s="1"/>
  <c r="C67" i="13"/>
  <c r="C67" i="7"/>
  <c r="C67" i="12"/>
  <c r="K60" i="7"/>
  <c r="J60" i="7"/>
  <c r="I60" i="7"/>
  <c r="O34" i="7"/>
  <c r="C34" i="7"/>
  <c r="C33" i="7"/>
  <c r="G31" i="13"/>
  <c r="D3" i="6"/>
  <c r="F8" i="9" l="1"/>
  <c r="H8" i="9" s="1"/>
  <c r="G8" i="9"/>
  <c r="I8" i="9" s="1"/>
  <c r="F19" i="9"/>
  <c r="G19" i="9"/>
  <c r="I19" i="9" s="1"/>
  <c r="H19" i="9"/>
  <c r="AT20" i="8"/>
  <c r="K14" i="14"/>
  <c r="G38" i="7"/>
  <c r="U38" i="7" s="1"/>
  <c r="F70" i="14" s="1"/>
  <c r="G70" i="14" s="1"/>
  <c r="H70" i="14" s="1"/>
  <c r="I70" i="14" s="1"/>
  <c r="J70" i="14" s="1"/>
  <c r="V38" i="7"/>
  <c r="G38" i="13"/>
  <c r="U38" i="13" s="1"/>
  <c r="V38" i="13"/>
  <c r="G38" i="12"/>
  <c r="H38" i="12" s="1"/>
  <c r="V38" i="12"/>
  <c r="D79" i="7"/>
  <c r="J79" i="7" s="1"/>
  <c r="D79" i="13"/>
  <c r="J79" i="13" s="1"/>
  <c r="O34" i="13"/>
  <c r="W11" i="13"/>
  <c r="W12" i="13"/>
  <c r="W24" i="13"/>
  <c r="W55" i="13"/>
  <c r="W57" i="13"/>
  <c r="W66" i="13"/>
  <c r="W69" i="13"/>
  <c r="W78" i="13"/>
  <c r="S9" i="12"/>
  <c r="C20" i="14" s="1"/>
  <c r="M9" i="12"/>
  <c r="G9" i="12"/>
  <c r="S8" i="12"/>
  <c r="S34" i="7"/>
  <c r="T34" i="7" s="1"/>
  <c r="G4" i="13"/>
  <c r="K5" i="14" s="1"/>
  <c r="D84" i="13"/>
  <c r="J84" i="13" s="1"/>
  <c r="D75" i="13"/>
  <c r="J75" i="13" s="1"/>
  <c r="D83" i="13"/>
  <c r="J83" i="13" s="1"/>
  <c r="D74" i="13"/>
  <c r="J74" i="13" s="1"/>
  <c r="D67" i="13"/>
  <c r="G67" i="13" s="1"/>
  <c r="D64" i="13"/>
  <c r="J64" i="13" s="1"/>
  <c r="D34" i="13"/>
  <c r="P34" i="13" s="1"/>
  <c r="D33" i="13"/>
  <c r="M4" i="13"/>
  <c r="M51" i="13" s="1"/>
  <c r="N51" i="13" s="1"/>
  <c r="S4" i="13"/>
  <c r="K19" i="14" s="1"/>
  <c r="G5" i="13"/>
  <c r="H5" i="13" s="1"/>
  <c r="J5" i="13"/>
  <c r="M5" i="13" s="1"/>
  <c r="K13" i="14" s="1"/>
  <c r="S5" i="13"/>
  <c r="G6" i="13"/>
  <c r="K7" i="14" s="1"/>
  <c r="M6" i="13"/>
  <c r="T6" i="13"/>
  <c r="G7" i="13"/>
  <c r="H7" i="13" s="1"/>
  <c r="J7" i="13"/>
  <c r="M7" i="13" s="1"/>
  <c r="K15" i="14" s="1"/>
  <c r="T7" i="13"/>
  <c r="G8" i="13"/>
  <c r="J8" i="13"/>
  <c r="M8" i="13" s="1"/>
  <c r="T8" i="13"/>
  <c r="S9" i="13"/>
  <c r="K20" i="14" s="1"/>
  <c r="V11" i="13"/>
  <c r="M55" i="13"/>
  <c r="B14" i="13"/>
  <c r="C14" i="13"/>
  <c r="I14" i="13" s="1"/>
  <c r="O14" i="13" s="1"/>
  <c r="D14" i="13"/>
  <c r="J14" i="13" s="1"/>
  <c r="P14" i="13" s="1"/>
  <c r="B15" i="13"/>
  <c r="C15" i="13"/>
  <c r="I15" i="13" s="1"/>
  <c r="O15" i="13" s="1"/>
  <c r="D15" i="13"/>
  <c r="J15" i="13" s="1"/>
  <c r="P15" i="13" s="1"/>
  <c r="B16" i="13"/>
  <c r="C16" i="13"/>
  <c r="I16" i="13" s="1"/>
  <c r="D16" i="13"/>
  <c r="J16" i="13" s="1"/>
  <c r="B17" i="13"/>
  <c r="C17" i="13"/>
  <c r="I17" i="13" s="1"/>
  <c r="O17" i="13" s="1"/>
  <c r="D17" i="13"/>
  <c r="J17" i="13" s="1"/>
  <c r="P17" i="13" s="1"/>
  <c r="B18" i="13"/>
  <c r="C18" i="13"/>
  <c r="I18" i="13" s="1"/>
  <c r="O18" i="13" s="1"/>
  <c r="D18" i="13"/>
  <c r="J18" i="13" s="1"/>
  <c r="P18" i="13" s="1"/>
  <c r="B19" i="13"/>
  <c r="C19" i="13"/>
  <c r="I19" i="13" s="1"/>
  <c r="O19" i="13" s="1"/>
  <c r="D19" i="13"/>
  <c r="J19" i="13" s="1"/>
  <c r="P19" i="13" s="1"/>
  <c r="B20" i="13"/>
  <c r="C20" i="13"/>
  <c r="I20" i="13" s="1"/>
  <c r="O20" i="13" s="1"/>
  <c r="D20" i="13"/>
  <c r="J20" i="13" s="1"/>
  <c r="P20" i="13" s="1"/>
  <c r="B21" i="13"/>
  <c r="C21" i="13"/>
  <c r="I21" i="13" s="1"/>
  <c r="O21" i="13" s="1"/>
  <c r="D21" i="13"/>
  <c r="J21" i="13" s="1"/>
  <c r="P21" i="13" s="1"/>
  <c r="B22" i="13"/>
  <c r="C22" i="13"/>
  <c r="I22" i="13" s="1"/>
  <c r="O22" i="13" s="1"/>
  <c r="D22" i="13"/>
  <c r="J22" i="13" s="1"/>
  <c r="P22" i="13" s="1"/>
  <c r="B23" i="13"/>
  <c r="C23" i="13"/>
  <c r="I23" i="13" s="1"/>
  <c r="O23" i="13" s="1"/>
  <c r="D23" i="13"/>
  <c r="J23" i="13" s="1"/>
  <c r="P23" i="13" s="1"/>
  <c r="B25" i="13"/>
  <c r="C25" i="13"/>
  <c r="I25" i="13" s="1"/>
  <c r="O25" i="13" s="1"/>
  <c r="D25" i="13"/>
  <c r="J25" i="13" s="1"/>
  <c r="P25" i="13" s="1"/>
  <c r="B26" i="13"/>
  <c r="C26" i="13"/>
  <c r="I26" i="13" s="1"/>
  <c r="O26" i="13" s="1"/>
  <c r="D26" i="13"/>
  <c r="J26" i="13" s="1"/>
  <c r="P26" i="13" s="1"/>
  <c r="H27" i="13"/>
  <c r="N27" i="13"/>
  <c r="T27" i="13"/>
  <c r="U27" i="13"/>
  <c r="H28" i="13"/>
  <c r="O4" i="8" s="1"/>
  <c r="N28" i="13"/>
  <c r="T28" i="13"/>
  <c r="U28" i="13"/>
  <c r="V28" i="13" s="1"/>
  <c r="H29" i="13"/>
  <c r="P4" i="8" s="1"/>
  <c r="N29" i="13"/>
  <c r="T29" i="13"/>
  <c r="U29" i="13"/>
  <c r="H30" i="13"/>
  <c r="N30" i="13"/>
  <c r="T30" i="13"/>
  <c r="U30" i="13"/>
  <c r="H31" i="13"/>
  <c r="Q4" i="8" s="1"/>
  <c r="N31" i="13"/>
  <c r="T31" i="13"/>
  <c r="U31" i="13"/>
  <c r="K49" i="14" s="1"/>
  <c r="G32" i="13"/>
  <c r="H32" i="13" s="1"/>
  <c r="R4" i="8" s="1"/>
  <c r="N32" i="13"/>
  <c r="T32" i="13"/>
  <c r="N33" i="13"/>
  <c r="T33" i="13"/>
  <c r="N34" i="13"/>
  <c r="G35" i="13"/>
  <c r="N35" i="13"/>
  <c r="T35" i="13"/>
  <c r="G36" i="13"/>
  <c r="H36" i="13" s="1"/>
  <c r="V4" i="8" s="1"/>
  <c r="N36" i="13"/>
  <c r="T36" i="13"/>
  <c r="D37" i="13"/>
  <c r="G37" i="13" s="1"/>
  <c r="N37" i="13"/>
  <c r="T37" i="13"/>
  <c r="H39" i="13"/>
  <c r="Y4" i="8" s="1"/>
  <c r="N39" i="13"/>
  <c r="T39" i="13"/>
  <c r="U39" i="13"/>
  <c r="K47" i="14" s="1"/>
  <c r="H40" i="13"/>
  <c r="Z4" i="8" s="1"/>
  <c r="N40" i="13"/>
  <c r="T40" i="13"/>
  <c r="U40" i="13"/>
  <c r="K56" i="14" s="1"/>
  <c r="L56" i="14" s="1"/>
  <c r="M56" i="14" s="1"/>
  <c r="H41" i="13"/>
  <c r="AA4" i="8" s="1"/>
  <c r="N41" i="13"/>
  <c r="T41" i="13"/>
  <c r="U41" i="13"/>
  <c r="K72" i="14" s="1"/>
  <c r="L72" i="14" s="1"/>
  <c r="M72" i="14" s="1"/>
  <c r="N72" i="14" s="1"/>
  <c r="H42" i="13"/>
  <c r="AB4" i="8" s="1"/>
  <c r="N42" i="13"/>
  <c r="T42" i="13"/>
  <c r="U42" i="13"/>
  <c r="K65" i="14" s="1"/>
  <c r="L65" i="14" s="1"/>
  <c r="M65" i="14" s="1"/>
  <c r="N65" i="14" s="1"/>
  <c r="H43" i="13"/>
  <c r="AC4" i="8" s="1"/>
  <c r="N43" i="13"/>
  <c r="T43" i="13"/>
  <c r="U43" i="13"/>
  <c r="K67" i="14" s="1"/>
  <c r="H44" i="13"/>
  <c r="AD4" i="8" s="1"/>
  <c r="N44" i="13"/>
  <c r="T44" i="13"/>
  <c r="U44" i="13"/>
  <c r="K66" i="14" s="1"/>
  <c r="L66" i="14" s="1"/>
  <c r="M66" i="14" s="1"/>
  <c r="N45" i="13"/>
  <c r="T45" i="13"/>
  <c r="H46" i="13"/>
  <c r="AF4" i="8" s="1"/>
  <c r="N46" i="13"/>
  <c r="T46" i="13"/>
  <c r="U46" i="13"/>
  <c r="V46" i="13" s="1"/>
  <c r="H47" i="13"/>
  <c r="AG4" i="8" s="1"/>
  <c r="N47" i="13"/>
  <c r="T47" i="13"/>
  <c r="U47" i="13"/>
  <c r="K71" i="14" s="1"/>
  <c r="H48" i="13"/>
  <c r="AH4" i="8" s="1"/>
  <c r="N48" i="13"/>
  <c r="T48" i="13"/>
  <c r="U48" i="13"/>
  <c r="K55" i="14" s="1"/>
  <c r="L55" i="14" s="1"/>
  <c r="M55" i="14" s="1"/>
  <c r="H49" i="13"/>
  <c r="N49" i="13"/>
  <c r="T49" i="13"/>
  <c r="U49" i="13"/>
  <c r="H50" i="13"/>
  <c r="AI4" i="8" s="1"/>
  <c r="J58" i="13"/>
  <c r="C59" i="13"/>
  <c r="I59" i="13" s="1"/>
  <c r="O59" i="13" s="1"/>
  <c r="D59" i="13"/>
  <c r="J59" i="13" s="1"/>
  <c r="P59" i="13" s="1"/>
  <c r="K59" i="13"/>
  <c r="Q59" i="13" s="1"/>
  <c r="C60" i="13"/>
  <c r="I60" i="13" s="1"/>
  <c r="O60" i="13" s="1"/>
  <c r="D60" i="13"/>
  <c r="J60" i="13" s="1"/>
  <c r="P60" i="13" s="1"/>
  <c r="K60" i="13"/>
  <c r="Q60" i="13" s="1"/>
  <c r="C61" i="13"/>
  <c r="I61" i="13" s="1"/>
  <c r="D61" i="13"/>
  <c r="J61" i="13" s="1"/>
  <c r="K61" i="13"/>
  <c r="T67" i="13"/>
  <c r="T68" i="13" s="1"/>
  <c r="S68" i="13"/>
  <c r="C70" i="13"/>
  <c r="G70" i="13" s="1"/>
  <c r="I70" i="13"/>
  <c r="J70" i="13"/>
  <c r="T70" i="13"/>
  <c r="G71" i="13"/>
  <c r="M71" i="13"/>
  <c r="G72" i="13"/>
  <c r="M72" i="13"/>
  <c r="G73" i="13"/>
  <c r="H73" i="13" s="1"/>
  <c r="M73" i="13"/>
  <c r="C74" i="13"/>
  <c r="I74" i="13"/>
  <c r="S74" i="13"/>
  <c r="C75" i="13"/>
  <c r="I75" i="13"/>
  <c r="S75" i="13"/>
  <c r="C79" i="13"/>
  <c r="I79" i="13"/>
  <c r="T79" i="13"/>
  <c r="G80" i="13"/>
  <c r="M80" i="13"/>
  <c r="T80" i="13"/>
  <c r="G81" i="13"/>
  <c r="M81" i="13"/>
  <c r="G82" i="13"/>
  <c r="M82" i="13"/>
  <c r="N82" i="13" s="1"/>
  <c r="C83" i="13"/>
  <c r="G83" i="13" s="1"/>
  <c r="I83" i="13"/>
  <c r="C84" i="13"/>
  <c r="I84" i="13"/>
  <c r="S87" i="13"/>
  <c r="K89" i="13"/>
  <c r="L89" i="13"/>
  <c r="O89" i="13"/>
  <c r="P89" i="13"/>
  <c r="Q89" i="13"/>
  <c r="R89" i="13"/>
  <c r="H91" i="13"/>
  <c r="I91" i="13"/>
  <c r="J91" i="13"/>
  <c r="K91" i="13"/>
  <c r="L91" i="13"/>
  <c r="N91" i="13"/>
  <c r="O91" i="13"/>
  <c r="P91" i="13"/>
  <c r="Q91" i="13"/>
  <c r="R91" i="13"/>
  <c r="S4" i="7"/>
  <c r="F19" i="14" s="1"/>
  <c r="G19" i="14" s="1"/>
  <c r="H19" i="14" s="1"/>
  <c r="I19" i="14" s="1"/>
  <c r="S5" i="7"/>
  <c r="S9" i="7"/>
  <c r="G5" i="7"/>
  <c r="F6" i="14" s="1"/>
  <c r="G6" i="14" s="1"/>
  <c r="H6" i="14" s="1"/>
  <c r="I6" i="14" s="1"/>
  <c r="J6" i="14" s="1"/>
  <c r="J5" i="7"/>
  <c r="M5" i="7" s="1"/>
  <c r="N5" i="7" s="1"/>
  <c r="J67" i="7"/>
  <c r="M67" i="7" s="1"/>
  <c r="N67" i="7" s="1"/>
  <c r="N68" i="7" s="1"/>
  <c r="J64" i="7"/>
  <c r="J58" i="7"/>
  <c r="I79" i="7"/>
  <c r="J70" i="7"/>
  <c r="J75" i="7"/>
  <c r="J74" i="7"/>
  <c r="J83" i="7"/>
  <c r="J84" i="7"/>
  <c r="I84" i="7"/>
  <c r="I83" i="7"/>
  <c r="C79" i="7"/>
  <c r="H81" i="7" s="1"/>
  <c r="J8" i="7"/>
  <c r="M8" i="7" s="1"/>
  <c r="M80" i="7"/>
  <c r="M81" i="7"/>
  <c r="M82" i="7"/>
  <c r="G8" i="7"/>
  <c r="G80" i="7"/>
  <c r="G81" i="7"/>
  <c r="G82" i="7"/>
  <c r="U82" i="7" s="1"/>
  <c r="C83" i="7"/>
  <c r="G83" i="7" s="1"/>
  <c r="C84" i="7"/>
  <c r="G84" i="7" s="1"/>
  <c r="P64" i="7"/>
  <c r="P58" i="7"/>
  <c r="T8" i="7"/>
  <c r="M4" i="7"/>
  <c r="M50" i="7" s="1"/>
  <c r="M55" i="7"/>
  <c r="G4" i="7"/>
  <c r="G51" i="7" s="1"/>
  <c r="G52" i="7" s="1"/>
  <c r="G4" i="12"/>
  <c r="H4" i="12" s="1"/>
  <c r="M4" i="12"/>
  <c r="N4" i="12" s="1"/>
  <c r="O4" i="12"/>
  <c r="V4" i="12"/>
  <c r="G5" i="12"/>
  <c r="C6" i="14" s="1"/>
  <c r="D6" i="14" s="1"/>
  <c r="E6" i="14" s="1"/>
  <c r="M5" i="12"/>
  <c r="N5" i="12" s="1"/>
  <c r="O5" i="12"/>
  <c r="G6" i="12"/>
  <c r="J6" i="12"/>
  <c r="M6" i="12" s="1"/>
  <c r="G7" i="12"/>
  <c r="H7" i="12" s="1"/>
  <c r="M7" i="12"/>
  <c r="C15" i="14" s="1"/>
  <c r="D15" i="14" s="1"/>
  <c r="E15" i="14" s="1"/>
  <c r="G8" i="12"/>
  <c r="M8" i="12"/>
  <c r="V10" i="12"/>
  <c r="V11" i="12"/>
  <c r="E14" i="12"/>
  <c r="E15" i="12"/>
  <c r="K15" i="12" s="1"/>
  <c r="Q15" i="12" s="1"/>
  <c r="E16" i="12"/>
  <c r="K16" i="12" s="1"/>
  <c r="E17" i="12"/>
  <c r="K17" i="12" s="1"/>
  <c r="Q17" i="12" s="1"/>
  <c r="E18" i="12"/>
  <c r="K18" i="12" s="1"/>
  <c r="Q18" i="12" s="1"/>
  <c r="E19" i="12"/>
  <c r="K19" i="12" s="1"/>
  <c r="Q19" i="12" s="1"/>
  <c r="E20" i="12"/>
  <c r="K20" i="12" s="1"/>
  <c r="Q20" i="12" s="1"/>
  <c r="E21" i="12"/>
  <c r="K21" i="12" s="1"/>
  <c r="Q21" i="12" s="1"/>
  <c r="E22" i="12"/>
  <c r="E23" i="12"/>
  <c r="K23" i="12" s="1"/>
  <c r="Q23" i="12" s="1"/>
  <c r="E25" i="12"/>
  <c r="K25" i="12" s="1"/>
  <c r="Q25" i="12" s="1"/>
  <c r="E26" i="12"/>
  <c r="K26" i="12" s="1"/>
  <c r="Q26" i="12" s="1"/>
  <c r="F14" i="12"/>
  <c r="L14" i="12" s="1"/>
  <c r="F15" i="12"/>
  <c r="L15" i="12" s="1"/>
  <c r="R15" i="12" s="1"/>
  <c r="F16" i="12"/>
  <c r="F17" i="12"/>
  <c r="F18" i="12"/>
  <c r="L18" i="12" s="1"/>
  <c r="R18" i="12" s="1"/>
  <c r="F19" i="12"/>
  <c r="L19" i="12" s="1"/>
  <c r="R19" i="12" s="1"/>
  <c r="F20" i="12"/>
  <c r="L20" i="12" s="1"/>
  <c r="R20" i="12" s="1"/>
  <c r="F21" i="12"/>
  <c r="L21" i="12" s="1"/>
  <c r="R21" i="12" s="1"/>
  <c r="F22" i="12"/>
  <c r="L22" i="12" s="1"/>
  <c r="R22" i="12" s="1"/>
  <c r="F23" i="12"/>
  <c r="L23" i="12" s="1"/>
  <c r="R23" i="12" s="1"/>
  <c r="F25" i="12"/>
  <c r="L25" i="12" s="1"/>
  <c r="R25" i="12" s="1"/>
  <c r="F26" i="12"/>
  <c r="L26" i="12" s="1"/>
  <c r="R26" i="12" s="1"/>
  <c r="G14" i="12"/>
  <c r="H14" i="12" s="1"/>
  <c r="G15" i="12"/>
  <c r="H15" i="12" s="1"/>
  <c r="G16" i="12"/>
  <c r="G17" i="12"/>
  <c r="G18" i="12"/>
  <c r="H18" i="12" s="1"/>
  <c r="G19" i="12"/>
  <c r="H19" i="12" s="1"/>
  <c r="G20" i="12"/>
  <c r="H20" i="12" s="1"/>
  <c r="G21" i="12"/>
  <c r="H21" i="12" s="1"/>
  <c r="G22" i="12"/>
  <c r="H22" i="12" s="1"/>
  <c r="G23" i="12"/>
  <c r="H23" i="12" s="1"/>
  <c r="G25" i="12"/>
  <c r="H25" i="12" s="1"/>
  <c r="G26" i="12"/>
  <c r="K14" i="12"/>
  <c r="Q14" i="12" s="1"/>
  <c r="K22" i="12"/>
  <c r="Q22" i="12" s="1"/>
  <c r="L16" i="12"/>
  <c r="M55" i="12"/>
  <c r="M14" i="12" s="1"/>
  <c r="N14" i="12" s="1"/>
  <c r="S14" i="12"/>
  <c r="S15" i="12"/>
  <c r="S17" i="12"/>
  <c r="S18" i="12"/>
  <c r="S19" i="12"/>
  <c r="S20" i="12"/>
  <c r="S21" i="12"/>
  <c r="S22" i="12"/>
  <c r="S23" i="12"/>
  <c r="S25" i="12"/>
  <c r="S26" i="12"/>
  <c r="V13" i="12"/>
  <c r="B14" i="12"/>
  <c r="C14" i="12"/>
  <c r="I14" i="12" s="1"/>
  <c r="O14" i="12" s="1"/>
  <c r="D14" i="12"/>
  <c r="J14" i="12" s="1"/>
  <c r="P14" i="12" s="1"/>
  <c r="V14" i="12"/>
  <c r="B15" i="12"/>
  <c r="C15" i="12"/>
  <c r="I15" i="12" s="1"/>
  <c r="O15" i="12" s="1"/>
  <c r="D15" i="12"/>
  <c r="J15" i="12" s="1"/>
  <c r="P15" i="12" s="1"/>
  <c r="V15" i="12"/>
  <c r="B16" i="12"/>
  <c r="C16" i="12"/>
  <c r="I16" i="12" s="1"/>
  <c r="D16" i="12"/>
  <c r="J16" i="12" s="1"/>
  <c r="V16" i="12"/>
  <c r="B17" i="12"/>
  <c r="C17" i="12"/>
  <c r="I17" i="12" s="1"/>
  <c r="O17" i="12" s="1"/>
  <c r="D17" i="12"/>
  <c r="J17" i="12" s="1"/>
  <c r="P17" i="12" s="1"/>
  <c r="V17" i="12"/>
  <c r="B18" i="12"/>
  <c r="C18" i="12"/>
  <c r="I18" i="12" s="1"/>
  <c r="O18" i="12" s="1"/>
  <c r="D18" i="12"/>
  <c r="J18" i="12" s="1"/>
  <c r="P18" i="12" s="1"/>
  <c r="V18" i="12"/>
  <c r="B19" i="12"/>
  <c r="C19" i="12"/>
  <c r="I19" i="12" s="1"/>
  <c r="O19" i="12" s="1"/>
  <c r="D19" i="12"/>
  <c r="J19" i="12" s="1"/>
  <c r="P19" i="12" s="1"/>
  <c r="V19" i="12"/>
  <c r="B20" i="12"/>
  <c r="C20" i="12"/>
  <c r="I20" i="12" s="1"/>
  <c r="O20" i="12" s="1"/>
  <c r="D20" i="12"/>
  <c r="J20" i="12" s="1"/>
  <c r="P20" i="12" s="1"/>
  <c r="V20" i="12"/>
  <c r="B21" i="12"/>
  <c r="C21" i="12"/>
  <c r="I21" i="12" s="1"/>
  <c r="O21" i="12" s="1"/>
  <c r="D21" i="12"/>
  <c r="J21" i="12" s="1"/>
  <c r="P21" i="12" s="1"/>
  <c r="V21" i="12"/>
  <c r="B22" i="12"/>
  <c r="C22" i="12"/>
  <c r="I22" i="12" s="1"/>
  <c r="O22" i="12" s="1"/>
  <c r="D22" i="12"/>
  <c r="J22" i="12" s="1"/>
  <c r="P22" i="12" s="1"/>
  <c r="V22" i="12"/>
  <c r="B23" i="12"/>
  <c r="C23" i="12"/>
  <c r="I23" i="12" s="1"/>
  <c r="O23" i="12" s="1"/>
  <c r="D23" i="12"/>
  <c r="J23" i="12" s="1"/>
  <c r="P23" i="12" s="1"/>
  <c r="V23" i="12"/>
  <c r="B25" i="12"/>
  <c r="C25" i="12"/>
  <c r="I25" i="12" s="1"/>
  <c r="O25" i="12" s="1"/>
  <c r="D25" i="12"/>
  <c r="J25" i="12" s="1"/>
  <c r="P25" i="12" s="1"/>
  <c r="V25" i="12"/>
  <c r="B26" i="12"/>
  <c r="C26" i="12"/>
  <c r="I26" i="12" s="1"/>
  <c r="O26" i="12" s="1"/>
  <c r="D26" i="12"/>
  <c r="J26" i="12" s="1"/>
  <c r="P26" i="12" s="1"/>
  <c r="V26" i="12"/>
  <c r="H27" i="12"/>
  <c r="N27" i="12"/>
  <c r="U27" i="12"/>
  <c r="V27" i="12"/>
  <c r="H28" i="12"/>
  <c r="N28" i="12"/>
  <c r="U28" i="12"/>
  <c r="C41" i="14" s="1"/>
  <c r="D41" i="14" s="1"/>
  <c r="E41" i="14" s="1"/>
  <c r="V28" i="12"/>
  <c r="H29" i="12"/>
  <c r="N29" i="12"/>
  <c r="U29" i="12"/>
  <c r="V29" i="12"/>
  <c r="H30" i="12"/>
  <c r="N30" i="12"/>
  <c r="U30" i="12"/>
  <c r="V30" i="12"/>
  <c r="C31" i="12"/>
  <c r="H31" i="12"/>
  <c r="N31" i="12"/>
  <c r="U31" i="12"/>
  <c r="C49" i="14" s="1"/>
  <c r="D49" i="14" s="1"/>
  <c r="E49" i="14" s="1"/>
  <c r="V31" i="12"/>
  <c r="G32" i="12"/>
  <c r="U32" i="12" s="1"/>
  <c r="C48" i="14" s="1"/>
  <c r="D48" i="14" s="1"/>
  <c r="E48" i="14" s="1"/>
  <c r="N32" i="12"/>
  <c r="V32" i="12"/>
  <c r="C33" i="12"/>
  <c r="G33" i="12" s="1"/>
  <c r="N33" i="12"/>
  <c r="V33" i="12"/>
  <c r="C34" i="12"/>
  <c r="G34" i="12" s="1"/>
  <c r="N34" i="12"/>
  <c r="V34" i="12"/>
  <c r="G35" i="12"/>
  <c r="H35" i="12" s="1"/>
  <c r="N35" i="12"/>
  <c r="G36" i="12"/>
  <c r="U36" i="12" s="1"/>
  <c r="C57" i="14" s="1"/>
  <c r="D57" i="14" s="1"/>
  <c r="E57" i="14" s="1"/>
  <c r="N36" i="12"/>
  <c r="D37" i="12"/>
  <c r="G37" i="12" s="1"/>
  <c r="N37" i="12"/>
  <c r="V37" i="12"/>
  <c r="H39" i="12"/>
  <c r="N39" i="12"/>
  <c r="U39" i="12"/>
  <c r="C47" i="14" s="1"/>
  <c r="D47" i="14" s="1"/>
  <c r="E47" i="14" s="1"/>
  <c r="V39" i="12"/>
  <c r="H40" i="12"/>
  <c r="N40" i="12"/>
  <c r="U40" i="12"/>
  <c r="C56" i="14" s="1"/>
  <c r="D56" i="14" s="1"/>
  <c r="E56" i="14" s="1"/>
  <c r="V40" i="12"/>
  <c r="H41" i="12"/>
  <c r="N41" i="12"/>
  <c r="U41" i="12"/>
  <c r="C72" i="14" s="1"/>
  <c r="D72" i="14" s="1"/>
  <c r="E72" i="14" s="1"/>
  <c r="V41" i="12"/>
  <c r="H42" i="12"/>
  <c r="N42" i="12"/>
  <c r="U42" i="12"/>
  <c r="C65" i="14" s="1"/>
  <c r="D65" i="14" s="1"/>
  <c r="E65" i="14" s="1"/>
  <c r="V42" i="12"/>
  <c r="H43" i="12"/>
  <c r="N43" i="12"/>
  <c r="U43" i="12"/>
  <c r="C67" i="14" s="1"/>
  <c r="D67" i="14" s="1"/>
  <c r="E67" i="14" s="1"/>
  <c r="V43" i="12"/>
  <c r="H44" i="12"/>
  <c r="N44" i="12"/>
  <c r="U44" i="12"/>
  <c r="C66" i="14" s="1"/>
  <c r="D66" i="14" s="1"/>
  <c r="E66" i="14" s="1"/>
  <c r="V44" i="12"/>
  <c r="G45" i="12"/>
  <c r="H45" i="12" s="1"/>
  <c r="N45" i="12"/>
  <c r="V45" i="12"/>
  <c r="H46" i="12"/>
  <c r="N46" i="12"/>
  <c r="U46" i="12"/>
  <c r="C52" i="14" s="1"/>
  <c r="D52" i="14" s="1"/>
  <c r="E52" i="14" s="1"/>
  <c r="V46" i="12"/>
  <c r="H47" i="12"/>
  <c r="N47" i="12"/>
  <c r="U47" i="12"/>
  <c r="C71" i="14" s="1"/>
  <c r="D71" i="14" s="1"/>
  <c r="E71" i="14" s="1"/>
  <c r="V47" i="12"/>
  <c r="H48" i="12"/>
  <c r="N48" i="12"/>
  <c r="U48" i="12"/>
  <c r="C55" i="14" s="1"/>
  <c r="D55" i="14" s="1"/>
  <c r="E55" i="14" s="1"/>
  <c r="V48" i="12"/>
  <c r="H49" i="12"/>
  <c r="N49" i="12"/>
  <c r="U49" i="12"/>
  <c r="V49" i="12"/>
  <c r="H50" i="12"/>
  <c r="V50" i="12"/>
  <c r="V51" i="12"/>
  <c r="V53" i="12"/>
  <c r="E59" i="12"/>
  <c r="K59" i="12" s="1"/>
  <c r="Q59" i="12" s="1"/>
  <c r="E60" i="12"/>
  <c r="K60" i="12" s="1"/>
  <c r="Q60" i="12" s="1"/>
  <c r="E61" i="12"/>
  <c r="F59" i="12"/>
  <c r="F60" i="12"/>
  <c r="F61" i="12"/>
  <c r="F62" i="12"/>
  <c r="C79" i="12"/>
  <c r="G79" i="12" s="1"/>
  <c r="G80" i="12"/>
  <c r="G81" i="12"/>
  <c r="G82" i="12"/>
  <c r="C83" i="12"/>
  <c r="G83" i="12" s="1"/>
  <c r="C84" i="12"/>
  <c r="G84" i="12" s="1"/>
  <c r="I79" i="12"/>
  <c r="V58" i="12"/>
  <c r="C59" i="12"/>
  <c r="I59" i="12" s="1"/>
  <c r="O59" i="12" s="1"/>
  <c r="D59" i="12"/>
  <c r="J59" i="12" s="1"/>
  <c r="P59" i="12" s="1"/>
  <c r="V59" i="12"/>
  <c r="C60" i="12"/>
  <c r="I60" i="12" s="1"/>
  <c r="O60" i="12" s="1"/>
  <c r="D60" i="12"/>
  <c r="J60" i="12" s="1"/>
  <c r="P60" i="12" s="1"/>
  <c r="V60" i="12"/>
  <c r="C61" i="12"/>
  <c r="I61" i="12" s="1"/>
  <c r="D61" i="12"/>
  <c r="J61" i="12" s="1"/>
  <c r="V61" i="12"/>
  <c r="V63" i="12"/>
  <c r="V64" i="12"/>
  <c r="V65" i="12"/>
  <c r="G67" i="12"/>
  <c r="G68" i="12" s="1"/>
  <c r="J67" i="12"/>
  <c r="M67" i="12" s="1"/>
  <c r="S68" i="12"/>
  <c r="V68" i="12"/>
  <c r="C70" i="12"/>
  <c r="G70" i="12" s="1"/>
  <c r="I70" i="12"/>
  <c r="G71" i="12"/>
  <c r="M71" i="12"/>
  <c r="G72" i="12"/>
  <c r="H72" i="12" s="1"/>
  <c r="M72" i="12"/>
  <c r="G73" i="12"/>
  <c r="M73" i="12"/>
  <c r="C74" i="12"/>
  <c r="G74" i="12" s="1"/>
  <c r="I74" i="12"/>
  <c r="M74" i="12" s="1"/>
  <c r="S74" i="12"/>
  <c r="V74" i="12"/>
  <c r="C75" i="12"/>
  <c r="G75" i="12" s="1"/>
  <c r="I75" i="12"/>
  <c r="M75" i="12" s="1"/>
  <c r="S75" i="12"/>
  <c r="V75" i="12"/>
  <c r="V77" i="12"/>
  <c r="M80" i="12"/>
  <c r="M81" i="12"/>
  <c r="M82" i="12"/>
  <c r="I83" i="12"/>
  <c r="M83" i="12" s="1"/>
  <c r="I84" i="12"/>
  <c r="M84" i="12" s="1"/>
  <c r="S87" i="12"/>
  <c r="V87" i="12"/>
  <c r="V88" i="12"/>
  <c r="K89" i="12"/>
  <c r="L89" i="12"/>
  <c r="O89" i="12"/>
  <c r="P89" i="12"/>
  <c r="Q89" i="12"/>
  <c r="R89" i="12"/>
  <c r="H91" i="12"/>
  <c r="I91" i="12"/>
  <c r="J91" i="12"/>
  <c r="K91" i="12"/>
  <c r="L91" i="12"/>
  <c r="N91" i="12"/>
  <c r="O91" i="12"/>
  <c r="P91" i="12"/>
  <c r="Q91" i="12"/>
  <c r="R91" i="12"/>
  <c r="T91" i="12"/>
  <c r="J7" i="7"/>
  <c r="M7" i="7" s="1"/>
  <c r="F15" i="14" s="1"/>
  <c r="G15" i="14" s="1"/>
  <c r="H15" i="14" s="1"/>
  <c r="I15" i="14" s="1"/>
  <c r="J15" i="14" s="1"/>
  <c r="L15" i="14" s="1"/>
  <c r="M15" i="14" s="1"/>
  <c r="N15" i="14" s="1"/>
  <c r="J6" i="7"/>
  <c r="M6" i="7" s="1"/>
  <c r="G32" i="7"/>
  <c r="U32" i="7" s="1"/>
  <c r="F48" i="14" s="1"/>
  <c r="G48" i="14" s="1"/>
  <c r="H48" i="14" s="1"/>
  <c r="I48" i="14" s="1"/>
  <c r="J48" i="14" s="1"/>
  <c r="D13" i="6"/>
  <c r="E13" i="6" s="1"/>
  <c r="D5" i="6"/>
  <c r="E5" i="6" s="1"/>
  <c r="D6" i="6"/>
  <c r="E6" i="6" s="1"/>
  <c r="G6" i="6" s="1"/>
  <c r="D7" i="6"/>
  <c r="E7" i="6" s="1"/>
  <c r="D8" i="6"/>
  <c r="E8" i="6" s="1"/>
  <c r="D9" i="6"/>
  <c r="D10" i="6"/>
  <c r="E10" i="6" s="1"/>
  <c r="D11" i="6"/>
  <c r="E11" i="6" s="1"/>
  <c r="D12" i="6"/>
  <c r="E12" i="6" s="1"/>
  <c r="D14" i="6"/>
  <c r="E14" i="6" s="1"/>
  <c r="D15" i="6"/>
  <c r="E15" i="6" s="1"/>
  <c r="G15" i="6" s="1"/>
  <c r="D16" i="6"/>
  <c r="E16" i="6" s="1"/>
  <c r="C18" i="6"/>
  <c r="G7" i="7"/>
  <c r="F8" i="14" s="1"/>
  <c r="G8" i="14" s="1"/>
  <c r="H8" i="14" s="1"/>
  <c r="I8" i="14" s="1"/>
  <c r="J8" i="14" s="1"/>
  <c r="C70" i="7"/>
  <c r="G71" i="7"/>
  <c r="G72" i="7"/>
  <c r="G73" i="7"/>
  <c r="C74" i="7"/>
  <c r="G74" i="7" s="1"/>
  <c r="H74" i="7" s="1"/>
  <c r="C75" i="7"/>
  <c r="G75" i="7" s="1"/>
  <c r="G33" i="7"/>
  <c r="G34" i="7"/>
  <c r="H34" i="7" s="1"/>
  <c r="T3" i="8" s="1"/>
  <c r="H28" i="7"/>
  <c r="O3" i="8" s="1"/>
  <c r="H29" i="7"/>
  <c r="P3" i="8" s="1"/>
  <c r="H31" i="7"/>
  <c r="Q3" i="8" s="1"/>
  <c r="H32" i="7"/>
  <c r="R3" i="8" s="1"/>
  <c r="G35" i="7"/>
  <c r="H35" i="7" s="1"/>
  <c r="U3" i="8" s="1"/>
  <c r="G36" i="7"/>
  <c r="D37" i="7"/>
  <c r="G37" i="7" s="1"/>
  <c r="H37" i="7" s="1"/>
  <c r="W3" i="8" s="1"/>
  <c r="H39" i="7"/>
  <c r="Y3" i="8" s="1"/>
  <c r="H40" i="7"/>
  <c r="Z3" i="8" s="1"/>
  <c r="H41" i="7"/>
  <c r="AA3" i="8" s="1"/>
  <c r="H42" i="7"/>
  <c r="AB3" i="8" s="1"/>
  <c r="H43" i="7"/>
  <c r="AC3" i="8" s="1"/>
  <c r="H44" i="7"/>
  <c r="AD3" i="8" s="1"/>
  <c r="H45" i="7"/>
  <c r="AE3" i="8" s="1"/>
  <c r="H46" i="7"/>
  <c r="AF3" i="8" s="1"/>
  <c r="H47" i="7"/>
  <c r="AG3" i="8" s="1"/>
  <c r="H48" i="7"/>
  <c r="AH3" i="8" s="1"/>
  <c r="H50" i="7"/>
  <c r="AI3" i="8" s="1"/>
  <c r="U49" i="7"/>
  <c r="V49" i="7"/>
  <c r="T49" i="7"/>
  <c r="N49" i="7"/>
  <c r="H49" i="7"/>
  <c r="X2" i="8"/>
  <c r="W2" i="8"/>
  <c r="W1" i="8"/>
  <c r="W24" i="8" s="1"/>
  <c r="V2" i="8"/>
  <c r="U2" i="8"/>
  <c r="U1" i="8"/>
  <c r="U24" i="8" s="1"/>
  <c r="V1" i="8"/>
  <c r="V24" i="8" s="1"/>
  <c r="H91" i="7"/>
  <c r="I91" i="7"/>
  <c r="J91" i="7"/>
  <c r="K91" i="7"/>
  <c r="L91" i="7"/>
  <c r="N91" i="7"/>
  <c r="O91" i="7"/>
  <c r="P91" i="7"/>
  <c r="Q91" i="7"/>
  <c r="R91" i="7"/>
  <c r="K89" i="7"/>
  <c r="L89" i="7"/>
  <c r="O89" i="7"/>
  <c r="P89" i="7"/>
  <c r="Q89" i="7"/>
  <c r="R89" i="7"/>
  <c r="U81" i="7"/>
  <c r="U80" i="7"/>
  <c r="I74" i="7"/>
  <c r="M74" i="7" s="1"/>
  <c r="I75" i="7"/>
  <c r="S75" i="7"/>
  <c r="S74" i="7"/>
  <c r="M73" i="7"/>
  <c r="M72" i="7"/>
  <c r="M71" i="7"/>
  <c r="S87" i="7"/>
  <c r="I70" i="7"/>
  <c r="S68" i="7"/>
  <c r="G67" i="7"/>
  <c r="G68" i="7" s="1"/>
  <c r="N33" i="7"/>
  <c r="N35" i="7"/>
  <c r="N36" i="7"/>
  <c r="N37" i="7"/>
  <c r="V75" i="7"/>
  <c r="V74" i="7"/>
  <c r="K61" i="7"/>
  <c r="D61" i="7"/>
  <c r="J61" i="7" s="1"/>
  <c r="C61" i="7"/>
  <c r="I61" i="7" s="1"/>
  <c r="Q60" i="7"/>
  <c r="D60" i="7"/>
  <c r="P60" i="7" s="1"/>
  <c r="C60" i="7"/>
  <c r="O60" i="7" s="1"/>
  <c r="K59" i="7"/>
  <c r="D59" i="7"/>
  <c r="J59" i="7" s="1"/>
  <c r="P59" i="7" s="1"/>
  <c r="C59" i="7"/>
  <c r="I59" i="7" s="1"/>
  <c r="O59" i="7" s="1"/>
  <c r="Q59" i="7"/>
  <c r="T6" i="7"/>
  <c r="G6" i="7"/>
  <c r="F7" i="14" s="1"/>
  <c r="G7" i="14" s="1"/>
  <c r="H7" i="14" s="1"/>
  <c r="I7" i="14" s="1"/>
  <c r="J7" i="14" s="1"/>
  <c r="U39" i="7"/>
  <c r="F47" i="14" s="1"/>
  <c r="G47" i="14" s="1"/>
  <c r="H47" i="14" s="1"/>
  <c r="I47" i="14" s="1"/>
  <c r="J47" i="14" s="1"/>
  <c r="V11" i="7"/>
  <c r="U48" i="7"/>
  <c r="F55" i="14" s="1"/>
  <c r="G55" i="14" s="1"/>
  <c r="H55" i="14" s="1"/>
  <c r="I55" i="14" s="1"/>
  <c r="J55" i="14" s="1"/>
  <c r="E1" i="8"/>
  <c r="E24" i="8" s="1"/>
  <c r="B16" i="7"/>
  <c r="E2" i="8" s="1"/>
  <c r="C16" i="7"/>
  <c r="I16" i="7" s="1"/>
  <c r="D16" i="7"/>
  <c r="J16" i="7" s="1"/>
  <c r="D15" i="7"/>
  <c r="J15" i="7" s="1"/>
  <c r="P15" i="7" s="1"/>
  <c r="D17" i="7"/>
  <c r="J17" i="7" s="1"/>
  <c r="P17" i="7" s="1"/>
  <c r="D18" i="7"/>
  <c r="J18" i="7" s="1"/>
  <c r="P18" i="7" s="1"/>
  <c r="D19" i="7"/>
  <c r="J19" i="7" s="1"/>
  <c r="P19" i="7" s="1"/>
  <c r="D20" i="7"/>
  <c r="J20" i="7" s="1"/>
  <c r="P20" i="7" s="1"/>
  <c r="D21" i="7"/>
  <c r="J21" i="7" s="1"/>
  <c r="P21" i="7" s="1"/>
  <c r="D22" i="7"/>
  <c r="J22" i="7" s="1"/>
  <c r="P22" i="7" s="1"/>
  <c r="D23" i="7"/>
  <c r="J23" i="7" s="1"/>
  <c r="P23" i="7" s="1"/>
  <c r="D25" i="7"/>
  <c r="J25" i="7" s="1"/>
  <c r="P25" i="7" s="1"/>
  <c r="D26" i="7"/>
  <c r="J26" i="7" s="1"/>
  <c r="P26" i="7" s="1"/>
  <c r="D14" i="7"/>
  <c r="J14" i="7" s="1"/>
  <c r="P14" i="7" s="1"/>
  <c r="D5" i="10"/>
  <c r="J5" i="10"/>
  <c r="O5" i="10"/>
  <c r="O17" i="10" s="1"/>
  <c r="S5" i="10"/>
  <c r="S8" i="10" s="1"/>
  <c r="T5" i="10"/>
  <c r="V5" i="10"/>
  <c r="W5" i="10"/>
  <c r="AC6" i="10" s="1"/>
  <c r="D6" i="10"/>
  <c r="E6" i="10" s="1"/>
  <c r="J6" i="10"/>
  <c r="O6" i="10"/>
  <c r="Q6" i="10" s="1"/>
  <c r="D7" i="10"/>
  <c r="E7" i="10" s="1"/>
  <c r="F7" i="10" s="1"/>
  <c r="J7" i="10"/>
  <c r="O7" i="10"/>
  <c r="D8" i="10"/>
  <c r="J8" i="10"/>
  <c r="O8" i="10"/>
  <c r="T8" i="10"/>
  <c r="D9" i="10"/>
  <c r="J9" i="10"/>
  <c r="O9" i="10"/>
  <c r="D10" i="10"/>
  <c r="J10" i="10"/>
  <c r="O10" i="10"/>
  <c r="AB10" i="10"/>
  <c r="AC10" i="10" s="1"/>
  <c r="AD10" i="10" s="1"/>
  <c r="D11" i="10"/>
  <c r="E11" i="10" s="1"/>
  <c r="P11" i="10" s="1"/>
  <c r="J11" i="10"/>
  <c r="O11" i="10"/>
  <c r="D12" i="10"/>
  <c r="E12" i="10"/>
  <c r="J12" i="10"/>
  <c r="O12" i="10"/>
  <c r="V12" i="10"/>
  <c r="V15" i="10" s="1"/>
  <c r="D13" i="10"/>
  <c r="J13" i="10"/>
  <c r="O13" i="10"/>
  <c r="D14" i="10"/>
  <c r="P14" i="10" s="1"/>
  <c r="E14" i="10"/>
  <c r="F14" i="10" s="1"/>
  <c r="G14" i="10" s="1"/>
  <c r="J14" i="10"/>
  <c r="O14" i="10"/>
  <c r="D15" i="10"/>
  <c r="P15" i="10" s="1"/>
  <c r="J15" i="10"/>
  <c r="O15" i="10"/>
  <c r="B17" i="10"/>
  <c r="V22" i="10"/>
  <c r="V23" i="10"/>
  <c r="W26" i="10"/>
  <c r="V27" i="10"/>
  <c r="V28" i="10"/>
  <c r="V29" i="10" s="1"/>
  <c r="W29" i="10" s="1"/>
  <c r="K26" i="3"/>
  <c r="J26" i="3"/>
  <c r="K25" i="3"/>
  <c r="J25" i="3"/>
  <c r="K19" i="3"/>
  <c r="J19" i="3"/>
  <c r="K18" i="3"/>
  <c r="J18" i="3"/>
  <c r="K17" i="3"/>
  <c r="J17" i="3"/>
  <c r="M17" i="3"/>
  <c r="N17" i="3"/>
  <c r="M18" i="3"/>
  <c r="N18" i="3"/>
  <c r="M19" i="3"/>
  <c r="N19" i="3"/>
  <c r="N26" i="3"/>
  <c r="M26" i="3"/>
  <c r="N25" i="3"/>
  <c r="M25" i="3"/>
  <c r="F26" i="3"/>
  <c r="L26" i="3" s="1"/>
  <c r="O26" i="3"/>
  <c r="F25" i="3"/>
  <c r="J100" i="5" s="1"/>
  <c r="F24" i="3"/>
  <c r="F23" i="3"/>
  <c r="F22" i="3"/>
  <c r="O22" i="3" s="1"/>
  <c r="F21" i="3"/>
  <c r="F20" i="3"/>
  <c r="F19" i="3"/>
  <c r="F18" i="3"/>
  <c r="O18" i="3" s="1"/>
  <c r="F17" i="3"/>
  <c r="O17" i="3" s="1"/>
  <c r="F15" i="3"/>
  <c r="F14" i="3"/>
  <c r="F13" i="3"/>
  <c r="J75" i="5" s="1"/>
  <c r="F12" i="3"/>
  <c r="F11" i="3"/>
  <c r="J59" i="5" s="1"/>
  <c r="F10" i="3"/>
  <c r="F9" i="3"/>
  <c r="J48" i="5" s="1"/>
  <c r="F8" i="3"/>
  <c r="J41" i="5" s="1"/>
  <c r="F7" i="3"/>
  <c r="F6" i="3"/>
  <c r="F5" i="3"/>
  <c r="F4" i="3" s="1"/>
  <c r="E16" i="3"/>
  <c r="M8" i="3"/>
  <c r="N8" i="3"/>
  <c r="M22" i="3"/>
  <c r="N22" i="3"/>
  <c r="AK2" i="8"/>
  <c r="AJ2" i="8"/>
  <c r="AI2" i="8"/>
  <c r="AH2" i="8"/>
  <c r="AG2" i="8"/>
  <c r="AF2" i="8"/>
  <c r="AE2" i="8"/>
  <c r="AD2" i="8"/>
  <c r="AC2" i="8"/>
  <c r="AB2" i="8"/>
  <c r="AA2" i="8"/>
  <c r="T14" i="3"/>
  <c r="T15" i="3"/>
  <c r="T16" i="3"/>
  <c r="T20" i="3"/>
  <c r="T21" i="3"/>
  <c r="T22" i="3"/>
  <c r="T23" i="3"/>
  <c r="T24" i="3"/>
  <c r="T25" i="3"/>
  <c r="T17" i="3"/>
  <c r="T18" i="3"/>
  <c r="T26" i="3"/>
  <c r="T19" i="3"/>
  <c r="T10" i="3"/>
  <c r="T11" i="3"/>
  <c r="T12" i="3"/>
  <c r="T13" i="3"/>
  <c r="T6" i="3"/>
  <c r="T7" i="3"/>
  <c r="T8" i="3"/>
  <c r="T9" i="3"/>
  <c r="T5" i="3"/>
  <c r="Z2" i="8"/>
  <c r="Y2" i="8"/>
  <c r="B14" i="7"/>
  <c r="C2" i="8"/>
  <c r="S2" i="8"/>
  <c r="T2" i="8"/>
  <c r="R2" i="8"/>
  <c r="Q2" i="8"/>
  <c r="P2" i="8"/>
  <c r="O2" i="8"/>
  <c r="B26" i="7"/>
  <c r="N2" i="8"/>
  <c r="B25" i="7"/>
  <c r="M2" i="8" s="1"/>
  <c r="B23" i="7"/>
  <c r="L2" i="8" s="1"/>
  <c r="B22" i="7"/>
  <c r="K2" i="8" s="1"/>
  <c r="D1" i="8"/>
  <c r="D24" i="8"/>
  <c r="B21" i="7"/>
  <c r="J2" i="8" s="1"/>
  <c r="B20" i="7"/>
  <c r="I2" i="8"/>
  <c r="B19" i="7"/>
  <c r="H2" i="8" s="1"/>
  <c r="B18" i="7"/>
  <c r="G2" i="8" s="1"/>
  <c r="B17" i="7"/>
  <c r="F2" i="8" s="1"/>
  <c r="B15" i="7"/>
  <c r="D2" i="8" s="1"/>
  <c r="U47" i="7"/>
  <c r="F71" i="14" s="1"/>
  <c r="G71" i="14" s="1"/>
  <c r="H71" i="14" s="1"/>
  <c r="I71" i="14" s="1"/>
  <c r="J71" i="14" s="1"/>
  <c r="U46" i="7"/>
  <c r="F52" i="14" s="1"/>
  <c r="G52" i="14" s="1"/>
  <c r="H52" i="14" s="1"/>
  <c r="I52" i="14" s="1"/>
  <c r="J52" i="14" s="1"/>
  <c r="U44" i="7"/>
  <c r="F66" i="14" s="1"/>
  <c r="G66" i="14" s="1"/>
  <c r="H66" i="14" s="1"/>
  <c r="I66" i="14" s="1"/>
  <c r="J66" i="14" s="1"/>
  <c r="U43" i="7"/>
  <c r="F67" i="14" s="1"/>
  <c r="G67" i="14" s="1"/>
  <c r="H67" i="14" s="1"/>
  <c r="I67" i="14" s="1"/>
  <c r="J67" i="14" s="1"/>
  <c r="U42" i="7"/>
  <c r="F65" i="14" s="1"/>
  <c r="G65" i="14" s="1"/>
  <c r="H65" i="14" s="1"/>
  <c r="I65" i="14" s="1"/>
  <c r="J65" i="14" s="1"/>
  <c r="U41" i="7"/>
  <c r="F72" i="14" s="1"/>
  <c r="G72" i="14" s="1"/>
  <c r="H72" i="14" s="1"/>
  <c r="I72" i="14" s="1"/>
  <c r="J72" i="14" s="1"/>
  <c r="U40" i="7"/>
  <c r="F56" i="14" s="1"/>
  <c r="G56" i="14" s="1"/>
  <c r="H56" i="14" s="1"/>
  <c r="I56" i="14" s="1"/>
  <c r="J56" i="14" s="1"/>
  <c r="U31" i="7"/>
  <c r="F49" i="14" s="1"/>
  <c r="G49" i="14" s="1"/>
  <c r="H49" i="14" s="1"/>
  <c r="I49" i="14" s="1"/>
  <c r="J49" i="14" s="1"/>
  <c r="U30" i="7"/>
  <c r="U29" i="7"/>
  <c r="U28" i="7"/>
  <c r="F41" i="14" s="1"/>
  <c r="G41" i="14" s="1"/>
  <c r="H41" i="14" s="1"/>
  <c r="I41" i="14" s="1"/>
  <c r="J41" i="14" s="1"/>
  <c r="U27" i="7"/>
  <c r="T48" i="7"/>
  <c r="T47" i="7"/>
  <c r="T46" i="7"/>
  <c r="T45" i="7"/>
  <c r="T44" i="7"/>
  <c r="T43" i="7"/>
  <c r="T42" i="7"/>
  <c r="T41" i="7"/>
  <c r="T40" i="7"/>
  <c r="T39" i="7"/>
  <c r="T33" i="7"/>
  <c r="T32" i="7"/>
  <c r="T31" i="7"/>
  <c r="T30" i="7"/>
  <c r="T29" i="7"/>
  <c r="T28" i="7"/>
  <c r="T27" i="7"/>
  <c r="N48" i="7"/>
  <c r="N47" i="7"/>
  <c r="N46" i="7"/>
  <c r="N45" i="7"/>
  <c r="N44" i="7"/>
  <c r="N43" i="7"/>
  <c r="N42" i="7"/>
  <c r="N41" i="7"/>
  <c r="N40" i="7"/>
  <c r="N39" i="7"/>
  <c r="N34" i="7"/>
  <c r="N32" i="7"/>
  <c r="N31" i="7"/>
  <c r="N30" i="7"/>
  <c r="N29" i="7"/>
  <c r="N28" i="7"/>
  <c r="N27" i="7"/>
  <c r="H27" i="7"/>
  <c r="H30" i="7"/>
  <c r="O1" i="8"/>
  <c r="O24" i="8" s="1"/>
  <c r="C1" i="8"/>
  <c r="F1" i="8"/>
  <c r="F24" i="8" s="1"/>
  <c r="G1" i="8"/>
  <c r="G24" i="8" s="1"/>
  <c r="H1" i="8"/>
  <c r="H24" i="8" s="1"/>
  <c r="I1" i="8"/>
  <c r="I24" i="8" s="1"/>
  <c r="J1" i="8"/>
  <c r="J24" i="8" s="1"/>
  <c r="K1" i="8"/>
  <c r="K24" i="8" s="1"/>
  <c r="L1" i="8"/>
  <c r="L24" i="8" s="1"/>
  <c r="M1" i="8"/>
  <c r="M24" i="8" s="1"/>
  <c r="N1" i="8"/>
  <c r="N24" i="8" s="1"/>
  <c r="P1" i="8"/>
  <c r="P24" i="8" s="1"/>
  <c r="Q1" i="8"/>
  <c r="Q24" i="8" s="1"/>
  <c r="R1" i="8"/>
  <c r="R24" i="8" s="1"/>
  <c r="T1" i="8"/>
  <c r="T24" i="8" s="1"/>
  <c r="S1" i="8"/>
  <c r="S24" i="8" s="1"/>
  <c r="X1" i="8"/>
  <c r="X24" i="8" s="1"/>
  <c r="Y1" i="8"/>
  <c r="Y24" i="8" s="1"/>
  <c r="Z1" i="8"/>
  <c r="Z24" i="8" s="1"/>
  <c r="AA1" i="8"/>
  <c r="AA24" i="8" s="1"/>
  <c r="AB1" i="8"/>
  <c r="AB24" i="8" s="1"/>
  <c r="AC1" i="8"/>
  <c r="AC24" i="8"/>
  <c r="AD1" i="8"/>
  <c r="AD24" i="8" s="1"/>
  <c r="AE1" i="8"/>
  <c r="AE24" i="8" s="1"/>
  <c r="AF1" i="8"/>
  <c r="AF24" i="8" s="1"/>
  <c r="AG1" i="8"/>
  <c r="AG24" i="8" s="1"/>
  <c r="AH1" i="8"/>
  <c r="AH24" i="8" s="1"/>
  <c r="AI1" i="8"/>
  <c r="AI24" i="8" s="1"/>
  <c r="AJ1" i="8"/>
  <c r="AJ24" i="8" s="1"/>
  <c r="AK1" i="8"/>
  <c r="AK24" i="8" s="1"/>
  <c r="C15" i="7"/>
  <c r="I15" i="7" s="1"/>
  <c r="O15" i="7" s="1"/>
  <c r="C17" i="7"/>
  <c r="I17" i="7" s="1"/>
  <c r="O17" i="7" s="1"/>
  <c r="C18" i="7"/>
  <c r="I18" i="7" s="1"/>
  <c r="O18" i="7" s="1"/>
  <c r="C19" i="7"/>
  <c r="I19" i="7" s="1"/>
  <c r="O19" i="7" s="1"/>
  <c r="C20" i="7"/>
  <c r="I20" i="7" s="1"/>
  <c r="O20" i="7" s="1"/>
  <c r="C21" i="7"/>
  <c r="I21" i="7" s="1"/>
  <c r="O21" i="7" s="1"/>
  <c r="C22" i="7"/>
  <c r="I22" i="7" s="1"/>
  <c r="O22" i="7" s="1"/>
  <c r="C23" i="7"/>
  <c r="I23" i="7" s="1"/>
  <c r="O23" i="7" s="1"/>
  <c r="C25" i="7"/>
  <c r="I25" i="7" s="1"/>
  <c r="O25" i="7" s="1"/>
  <c r="C26" i="7"/>
  <c r="I26" i="7" s="1"/>
  <c r="O26" i="7" s="1"/>
  <c r="C14" i="7"/>
  <c r="I14" i="7" s="1"/>
  <c r="O14" i="7" s="1"/>
  <c r="F101" i="5"/>
  <c r="G101" i="5"/>
  <c r="F91" i="5"/>
  <c r="G91" i="5"/>
  <c r="J91" i="5"/>
  <c r="K91" i="5" s="1"/>
  <c r="F52" i="5"/>
  <c r="G52" i="5"/>
  <c r="F48" i="5"/>
  <c r="G48" i="5"/>
  <c r="F41" i="5"/>
  <c r="G41" i="5"/>
  <c r="K41" i="5" s="1"/>
  <c r="F108" i="5"/>
  <c r="F109" i="5" s="1"/>
  <c r="F82" i="5"/>
  <c r="F79" i="5" s="1"/>
  <c r="F12" i="5"/>
  <c r="F9" i="5" s="1"/>
  <c r="F5" i="5"/>
  <c r="F2" i="5" s="1"/>
  <c r="I59" i="5"/>
  <c r="I88" i="5"/>
  <c r="I90" i="5"/>
  <c r="I100" i="5"/>
  <c r="J88" i="5"/>
  <c r="H59" i="5"/>
  <c r="H88" i="5"/>
  <c r="H90" i="5"/>
  <c r="H100" i="5"/>
  <c r="J9" i="5"/>
  <c r="F18" i="5"/>
  <c r="F22" i="5"/>
  <c r="F26" i="5"/>
  <c r="F30" i="5"/>
  <c r="J16" i="5"/>
  <c r="J52" i="5"/>
  <c r="K52" i="5" s="1"/>
  <c r="F70" i="5"/>
  <c r="F68" i="5"/>
  <c r="J68" i="5"/>
  <c r="F77" i="5"/>
  <c r="J79" i="5"/>
  <c r="J101" i="5"/>
  <c r="K101" i="5" s="1"/>
  <c r="J106" i="5"/>
  <c r="J115" i="5"/>
  <c r="F34" i="5"/>
  <c r="H2" i="5"/>
  <c r="H121" i="5" s="1"/>
  <c r="H9" i="5"/>
  <c r="H16" i="5"/>
  <c r="H41" i="5"/>
  <c r="H48" i="5"/>
  <c r="H52" i="5"/>
  <c r="H68" i="5"/>
  <c r="H75" i="5"/>
  <c r="H79" i="5"/>
  <c r="H91" i="5"/>
  <c r="H101" i="5"/>
  <c r="H106" i="5"/>
  <c r="H115" i="5"/>
  <c r="I2" i="5"/>
  <c r="I121" i="5" s="1"/>
  <c r="I9" i="5"/>
  <c r="I16" i="5"/>
  <c r="I41" i="5"/>
  <c r="I48" i="5"/>
  <c r="I52" i="5"/>
  <c r="I68" i="5"/>
  <c r="I75" i="5"/>
  <c r="I79" i="5"/>
  <c r="I91" i="5"/>
  <c r="I101" i="5"/>
  <c r="I106" i="5"/>
  <c r="I115" i="5"/>
  <c r="B18" i="6"/>
  <c r="F116" i="5"/>
  <c r="G115" i="5" s="1"/>
  <c r="K115" i="5" s="1"/>
  <c r="F113" i="5"/>
  <c r="G9" i="5"/>
  <c r="K9" i="5" s="1"/>
  <c r="G68" i="5"/>
  <c r="K68" i="5"/>
  <c r="G79" i="5"/>
  <c r="K79" i="5" s="1"/>
  <c r="V48" i="7"/>
  <c r="U45" i="7"/>
  <c r="F63" i="14" s="1"/>
  <c r="G63" i="14" s="1"/>
  <c r="H63" i="14" s="1"/>
  <c r="I63" i="14" s="1"/>
  <c r="J63" i="14" s="1"/>
  <c r="H123" i="5"/>
  <c r="H14" i="10"/>
  <c r="I14" i="10"/>
  <c r="V51" i="7"/>
  <c r="W21" i="10"/>
  <c r="W22" i="10" s="1"/>
  <c r="W15" i="10"/>
  <c r="F12" i="10"/>
  <c r="L18" i="3"/>
  <c r="D17" i="10"/>
  <c r="E15" i="10"/>
  <c r="F15" i="10" s="1"/>
  <c r="G15" i="10" s="1"/>
  <c r="K14" i="10"/>
  <c r="L14" i="10"/>
  <c r="E13" i="10"/>
  <c r="P13" i="10" s="1"/>
  <c r="E9" i="10"/>
  <c r="F9" i="10" s="1"/>
  <c r="P9" i="10"/>
  <c r="E8" i="10"/>
  <c r="P8" i="10" s="1"/>
  <c r="G12" i="10"/>
  <c r="K12" i="10"/>
  <c r="V26" i="7"/>
  <c r="V21" i="7"/>
  <c r="T79" i="7"/>
  <c r="T70" i="7"/>
  <c r="T77" i="7" s="1"/>
  <c r="T80" i="7"/>
  <c r="T67" i="7"/>
  <c r="T68" i="7" s="1"/>
  <c r="V33" i="7"/>
  <c r="T35" i="7"/>
  <c r="T36" i="7"/>
  <c r="T37" i="7"/>
  <c r="T7" i="7"/>
  <c r="V45" i="7"/>
  <c r="V39" i="7"/>
  <c r="V27" i="7"/>
  <c r="V28" i="7"/>
  <c r="V30" i="7"/>
  <c r="V31" i="7"/>
  <c r="V40" i="7"/>
  <c r="V43" i="7"/>
  <c r="V46" i="7"/>
  <c r="V47" i="7"/>
  <c r="V29" i="7"/>
  <c r="V41" i="7"/>
  <c r="V42" i="7"/>
  <c r="V32" i="7"/>
  <c r="H5" i="7"/>
  <c r="H6" i="7"/>
  <c r="V34" i="7"/>
  <c r="V37" i="7"/>
  <c r="V44" i="7"/>
  <c r="V13" i="7"/>
  <c r="V19" i="7"/>
  <c r="V20" i="7"/>
  <c r="V18" i="7"/>
  <c r="V22" i="7"/>
  <c r="V15" i="7"/>
  <c r="V25" i="7"/>
  <c r="V23" i="7"/>
  <c r="V14" i="7"/>
  <c r="V17" i="7"/>
  <c r="V16" i="7"/>
  <c r="V77" i="7"/>
  <c r="V50" i="7"/>
  <c r="V4" i="7"/>
  <c r="V10" i="7"/>
  <c r="V87" i="7"/>
  <c r="V68" i="7"/>
  <c r="V53" i="7"/>
  <c r="V59" i="7"/>
  <c r="V58" i="7"/>
  <c r="V63" i="7"/>
  <c r="V64" i="7"/>
  <c r="V61" i="7"/>
  <c r="V60" i="7"/>
  <c r="V65" i="7"/>
  <c r="V88" i="7"/>
  <c r="H80" i="7" l="1"/>
  <c r="N80" i="7"/>
  <c r="N8" i="7"/>
  <c r="K9" i="14"/>
  <c r="L9" i="14" s="1"/>
  <c r="M9" i="14" s="1"/>
  <c r="N9" i="14" s="1"/>
  <c r="K21" i="14"/>
  <c r="N8" i="13"/>
  <c r="O5" i="8"/>
  <c r="AC5" i="8"/>
  <c r="Y5" i="8"/>
  <c r="Q5" i="8"/>
  <c r="H7" i="7"/>
  <c r="U73" i="7"/>
  <c r="F58" i="14" s="1"/>
  <c r="G58" i="14" s="1"/>
  <c r="H58" i="14" s="1"/>
  <c r="I58" i="14" s="1"/>
  <c r="J58" i="14" s="1"/>
  <c r="H73" i="7"/>
  <c r="F12" i="6"/>
  <c r="I13" i="6"/>
  <c r="I12" i="6"/>
  <c r="J12" i="6" s="1"/>
  <c r="L12" i="6" s="1"/>
  <c r="F10" i="6"/>
  <c r="G12" i="6"/>
  <c r="G13" i="6"/>
  <c r="F6" i="6"/>
  <c r="H6" i="6" s="1"/>
  <c r="K6" i="6" s="1"/>
  <c r="I6" i="6"/>
  <c r="F13" i="6"/>
  <c r="H15" i="10"/>
  <c r="I15" i="10" s="1"/>
  <c r="K15" i="10"/>
  <c r="L15" i="10" s="1"/>
  <c r="M15" i="10" s="1"/>
  <c r="AI5" i="8"/>
  <c r="AA5" i="8"/>
  <c r="P5" i="8"/>
  <c r="K9" i="10"/>
  <c r="G9" i="10"/>
  <c r="AB5" i="8"/>
  <c r="AG5" i="8"/>
  <c r="AF5" i="8"/>
  <c r="J2" i="5"/>
  <c r="W27" i="10"/>
  <c r="P12" i="10"/>
  <c r="H72" i="7"/>
  <c r="I15" i="6"/>
  <c r="G10" i="6"/>
  <c r="J10" i="6" s="1"/>
  <c r="L10" i="6" s="1"/>
  <c r="I8" i="6"/>
  <c r="M51" i="12"/>
  <c r="N51" i="12" s="1"/>
  <c r="M25" i="12"/>
  <c r="N25" i="12" s="1"/>
  <c r="K16" i="14"/>
  <c r="F16" i="5"/>
  <c r="I123" i="5"/>
  <c r="L17" i="3"/>
  <c r="V24" i="10"/>
  <c r="J17" i="10"/>
  <c r="F11" i="10"/>
  <c r="P6" i="10"/>
  <c r="H75" i="7"/>
  <c r="G106" i="5"/>
  <c r="K106" i="5" s="1"/>
  <c r="R5" i="8"/>
  <c r="Z5" i="8"/>
  <c r="AD5" i="8"/>
  <c r="AH5" i="8"/>
  <c r="L12" i="10"/>
  <c r="F8" i="10"/>
  <c r="K48" i="5"/>
  <c r="U4" i="7"/>
  <c r="N4" i="7"/>
  <c r="V17" i="10"/>
  <c r="F15" i="6"/>
  <c r="H15" i="6" s="1"/>
  <c r="K15" i="6" s="1"/>
  <c r="I10" i="6"/>
  <c r="F8" i="6"/>
  <c r="K12" i="14"/>
  <c r="AT9" i="8"/>
  <c r="C64" i="14"/>
  <c r="F64" i="14"/>
  <c r="K64" i="14"/>
  <c r="J64" i="14"/>
  <c r="E64" i="14"/>
  <c r="D64" i="14"/>
  <c r="H64" i="14"/>
  <c r="I64" i="14"/>
  <c r="G64" i="14"/>
  <c r="T89" i="7"/>
  <c r="H52" i="7"/>
  <c r="AK3" i="8" s="1"/>
  <c r="U38" i="12"/>
  <c r="C70" i="14" s="1"/>
  <c r="D70" i="14" s="1"/>
  <c r="E70" i="14" s="1"/>
  <c r="U34" i="7"/>
  <c r="F27" i="14" s="1"/>
  <c r="M51" i="7"/>
  <c r="N51" i="7" s="1"/>
  <c r="H84" i="7"/>
  <c r="N72" i="7"/>
  <c r="M84" i="7"/>
  <c r="U84" i="7" s="1"/>
  <c r="H38" i="13"/>
  <c r="X4" i="8" s="1"/>
  <c r="H38" i="7"/>
  <c r="X3" i="8" s="1"/>
  <c r="G10" i="7"/>
  <c r="H71" i="7"/>
  <c r="W29" i="13"/>
  <c r="W27" i="13"/>
  <c r="F12" i="14"/>
  <c r="G12" i="14" s="1"/>
  <c r="H12" i="14" s="1"/>
  <c r="I12" i="14" s="1"/>
  <c r="M79" i="7"/>
  <c r="N79" i="7" s="1"/>
  <c r="H51" i="7"/>
  <c r="AJ3" i="8" s="1"/>
  <c r="S51" i="7"/>
  <c r="T51" i="7" s="1"/>
  <c r="T87" i="7"/>
  <c r="U72" i="7"/>
  <c r="F62" i="14" s="1"/>
  <c r="G62" i="14" s="1"/>
  <c r="H62" i="14" s="1"/>
  <c r="I62" i="14" s="1"/>
  <c r="J62" i="14" s="1"/>
  <c r="U35" i="7"/>
  <c r="F61" i="14" s="1"/>
  <c r="G61" i="14" s="1"/>
  <c r="H61" i="14" s="1"/>
  <c r="I61" i="14" s="1"/>
  <c r="J61" i="14" s="1"/>
  <c r="M75" i="7"/>
  <c r="N75" i="7" s="1"/>
  <c r="H4" i="7"/>
  <c r="M83" i="7"/>
  <c r="U83" i="7" s="1"/>
  <c r="N81" i="7"/>
  <c r="W38" i="13"/>
  <c r="K70" i="14"/>
  <c r="L70" i="14" s="1"/>
  <c r="M70" i="14" s="1"/>
  <c r="N70" i="14" s="1"/>
  <c r="U80" i="12"/>
  <c r="H71" i="12"/>
  <c r="H74" i="12"/>
  <c r="U35" i="12"/>
  <c r="C61" i="14" s="1"/>
  <c r="D61" i="14" s="1"/>
  <c r="E61" i="14" s="1"/>
  <c r="M23" i="12"/>
  <c r="N23" i="12" s="1"/>
  <c r="N75" i="12"/>
  <c r="M19" i="12"/>
  <c r="U19" i="12" s="1"/>
  <c r="M17" i="12"/>
  <c r="N17" i="12" s="1"/>
  <c r="G33" i="13"/>
  <c r="H33" i="13" s="1"/>
  <c r="S4" i="8" s="1"/>
  <c r="S34" i="13"/>
  <c r="T34" i="13" s="1"/>
  <c r="K52" i="14"/>
  <c r="L52" i="14" s="1"/>
  <c r="M52" i="14" s="1"/>
  <c r="N52" i="14" s="1"/>
  <c r="K41" i="14"/>
  <c r="L41" i="14" s="1"/>
  <c r="M41" i="14" s="1"/>
  <c r="N41" i="14" s="1"/>
  <c r="O41" i="14" s="1"/>
  <c r="G74" i="13"/>
  <c r="H8" i="13"/>
  <c r="H83" i="7"/>
  <c r="H33" i="7"/>
  <c r="S3" i="8" s="1"/>
  <c r="U33" i="7"/>
  <c r="F26" i="14" s="1"/>
  <c r="G26" i="14" s="1"/>
  <c r="H26" i="14" s="1"/>
  <c r="I26" i="14" s="1"/>
  <c r="J26" i="14" s="1"/>
  <c r="N6" i="7"/>
  <c r="M10" i="7"/>
  <c r="F14" i="14"/>
  <c r="G14" i="14" s="1"/>
  <c r="H14" i="14" s="1"/>
  <c r="I14" i="14" s="1"/>
  <c r="J14" i="14" s="1"/>
  <c r="L14" i="14" s="1"/>
  <c r="M14" i="14" s="1"/>
  <c r="N14" i="14" s="1"/>
  <c r="U6" i="7"/>
  <c r="F9" i="14"/>
  <c r="G9" i="14" s="1"/>
  <c r="H9" i="14" s="1"/>
  <c r="I9" i="14" s="1"/>
  <c r="J9" i="14" s="1"/>
  <c r="S10" i="7"/>
  <c r="H67" i="7"/>
  <c r="H68" i="7" s="1"/>
  <c r="N74" i="7"/>
  <c r="W44" i="13"/>
  <c r="W40" i="13"/>
  <c r="F13" i="14"/>
  <c r="G13" i="14" s="1"/>
  <c r="H13" i="14" s="1"/>
  <c r="I13" i="14" s="1"/>
  <c r="J13" i="14" s="1"/>
  <c r="L13" i="14" s="1"/>
  <c r="M13" i="14" s="1"/>
  <c r="N13" i="14" s="1"/>
  <c r="F20" i="14"/>
  <c r="U9" i="7"/>
  <c r="N82" i="7"/>
  <c r="H82" i="7"/>
  <c r="N83" i="7"/>
  <c r="W48" i="13"/>
  <c r="U37" i="7"/>
  <c r="F69" i="14" s="1"/>
  <c r="N73" i="7"/>
  <c r="G79" i="7"/>
  <c r="T9" i="7"/>
  <c r="F5" i="14"/>
  <c r="G5" i="14" s="1"/>
  <c r="H5" i="14" s="1"/>
  <c r="I5" i="14" s="1"/>
  <c r="J5" i="14" s="1"/>
  <c r="O72" i="14"/>
  <c r="N56" i="14"/>
  <c r="O56" i="14" s="1"/>
  <c r="N55" i="14"/>
  <c r="O55" i="14" s="1"/>
  <c r="N66" i="14"/>
  <c r="O66" i="14" s="1"/>
  <c r="L49" i="14"/>
  <c r="M49" i="14" s="1"/>
  <c r="N49" i="14" s="1"/>
  <c r="L47" i="14"/>
  <c r="L67" i="14"/>
  <c r="M67" i="14" s="1"/>
  <c r="N67" i="14" s="1"/>
  <c r="L71" i="14"/>
  <c r="M71" i="14" s="1"/>
  <c r="N71" i="14" s="1"/>
  <c r="O65" i="14"/>
  <c r="C14" i="14"/>
  <c r="N6" i="12"/>
  <c r="N73" i="12"/>
  <c r="M70" i="12"/>
  <c r="N70" i="12" s="1"/>
  <c r="U45" i="12"/>
  <c r="C63" i="14" s="1"/>
  <c r="D63" i="14" s="1"/>
  <c r="E63" i="14" s="1"/>
  <c r="H32" i="12"/>
  <c r="M21" i="12"/>
  <c r="N21" i="12" s="1"/>
  <c r="M16" i="12"/>
  <c r="N16" i="12" s="1"/>
  <c r="C13" i="14"/>
  <c r="U81" i="12"/>
  <c r="M26" i="12"/>
  <c r="N26" i="12" s="1"/>
  <c r="M20" i="12"/>
  <c r="N20" i="12" s="1"/>
  <c r="M15" i="12"/>
  <c r="U15" i="12" s="1"/>
  <c r="D20" i="14"/>
  <c r="E20" i="14" s="1"/>
  <c r="U6" i="12"/>
  <c r="N72" i="12"/>
  <c r="O15" i="14"/>
  <c r="J67" i="13"/>
  <c r="M67" i="13" s="1"/>
  <c r="N67" i="13" s="1"/>
  <c r="N68" i="13" s="1"/>
  <c r="U6" i="13"/>
  <c r="M84" i="13"/>
  <c r="N84" i="13" s="1"/>
  <c r="V49" i="13"/>
  <c r="V27" i="13"/>
  <c r="G84" i="13"/>
  <c r="V43" i="13"/>
  <c r="V39" i="13"/>
  <c r="V30" i="13"/>
  <c r="K8" i="14"/>
  <c r="L8" i="14" s="1"/>
  <c r="N80" i="13"/>
  <c r="G75" i="13"/>
  <c r="H75" i="13" s="1"/>
  <c r="V47" i="13"/>
  <c r="U32" i="13"/>
  <c r="K6" i="14"/>
  <c r="L6" i="14" s="1"/>
  <c r="M6" i="14" s="1"/>
  <c r="N6" i="14" s="1"/>
  <c r="W43" i="13"/>
  <c r="M75" i="13"/>
  <c r="N75" i="13" s="1"/>
  <c r="M83" i="13"/>
  <c r="U83" i="13" s="1"/>
  <c r="N81" i="13"/>
  <c r="V48" i="13"/>
  <c r="V40" i="13"/>
  <c r="U36" i="13"/>
  <c r="K57" i="14" s="1"/>
  <c r="L57" i="14" s="1"/>
  <c r="M57" i="14" s="1"/>
  <c r="N57" i="14" s="1"/>
  <c r="G34" i="13"/>
  <c r="V29" i="13"/>
  <c r="U7" i="13"/>
  <c r="M74" i="13"/>
  <c r="N74" i="13" s="1"/>
  <c r="W39" i="13"/>
  <c r="U73" i="13"/>
  <c r="K58" i="14" s="1"/>
  <c r="L58" i="14" s="1"/>
  <c r="M58" i="14" s="1"/>
  <c r="N58" i="14" s="1"/>
  <c r="N72" i="13"/>
  <c r="W30" i="13"/>
  <c r="U8" i="7"/>
  <c r="F16" i="14"/>
  <c r="N5" i="13"/>
  <c r="U5" i="13"/>
  <c r="G56" i="13" s="1"/>
  <c r="U71" i="13"/>
  <c r="K51" i="14" s="1"/>
  <c r="L51" i="14" s="1"/>
  <c r="M51" i="14" s="1"/>
  <c r="N51" i="14" s="1"/>
  <c r="G68" i="13"/>
  <c r="H67" i="13"/>
  <c r="H68" i="13" s="1"/>
  <c r="V41" i="13"/>
  <c r="H6" i="13"/>
  <c r="W46" i="13"/>
  <c r="W42" i="13"/>
  <c r="H72" i="13"/>
  <c r="V42" i="13"/>
  <c r="U35" i="13"/>
  <c r="K61" i="14" s="1"/>
  <c r="L61" i="14" s="1"/>
  <c r="M61" i="14" s="1"/>
  <c r="N61" i="14" s="1"/>
  <c r="H35" i="13"/>
  <c r="U4" i="8" s="1"/>
  <c r="U5" i="8" s="1"/>
  <c r="V31" i="13"/>
  <c r="N6" i="13"/>
  <c r="S10" i="13"/>
  <c r="L7" i="14"/>
  <c r="M7" i="14" s="1"/>
  <c r="N7" i="14" s="1"/>
  <c r="W49" i="13"/>
  <c r="W41" i="13"/>
  <c r="W28" i="13"/>
  <c r="W47" i="13"/>
  <c r="T87" i="13"/>
  <c r="U72" i="13"/>
  <c r="K62" i="14" s="1"/>
  <c r="L62" i="14" s="1"/>
  <c r="M62" i="14" s="1"/>
  <c r="N62" i="14" s="1"/>
  <c r="H71" i="13"/>
  <c r="V44" i="13"/>
  <c r="W31" i="13"/>
  <c r="M79" i="13"/>
  <c r="G79" i="13"/>
  <c r="H79" i="13" s="1"/>
  <c r="M50" i="13"/>
  <c r="N50" i="13" s="1"/>
  <c r="N4" i="13"/>
  <c r="L5" i="14"/>
  <c r="M5" i="14" s="1"/>
  <c r="N5" i="14" s="1"/>
  <c r="U9" i="13"/>
  <c r="S51" i="13"/>
  <c r="T9" i="13"/>
  <c r="S50" i="13"/>
  <c r="T50" i="13" s="1"/>
  <c r="J19" i="14"/>
  <c r="U9" i="12"/>
  <c r="H75" i="12"/>
  <c r="U75" i="12"/>
  <c r="C30" i="14" s="1"/>
  <c r="D30" i="14" s="1"/>
  <c r="E30" i="14" s="1"/>
  <c r="M68" i="12"/>
  <c r="N67" i="12"/>
  <c r="N68" i="12" s="1"/>
  <c r="C5" i="14"/>
  <c r="T74" i="12"/>
  <c r="U72" i="12"/>
  <c r="C62" i="14" s="1"/>
  <c r="D62" i="14" s="1"/>
  <c r="E62" i="14" s="1"/>
  <c r="H36" i="12"/>
  <c r="M22" i="12"/>
  <c r="N22" i="12" s="1"/>
  <c r="M18" i="12"/>
  <c r="N18" i="12" s="1"/>
  <c r="F13" i="12"/>
  <c r="C36" i="14" s="1"/>
  <c r="D36" i="14" s="1"/>
  <c r="E36" i="14" s="1"/>
  <c r="C8" i="14"/>
  <c r="D8" i="14" s="1"/>
  <c r="E8" i="14" s="1"/>
  <c r="C12" i="14"/>
  <c r="N74" i="12"/>
  <c r="G51" i="12"/>
  <c r="G52" i="12" s="1"/>
  <c r="H6" i="12"/>
  <c r="C7" i="14"/>
  <c r="D7" i="14" s="1"/>
  <c r="E7" i="14" s="1"/>
  <c r="T9" i="12"/>
  <c r="L17" i="12"/>
  <c r="R17" i="12" s="1"/>
  <c r="N15" i="10"/>
  <c r="Q15" i="10"/>
  <c r="L25" i="3"/>
  <c r="O25" i="3"/>
  <c r="M14" i="10"/>
  <c r="P7" i="10"/>
  <c r="E5" i="10"/>
  <c r="F5" i="10" s="1"/>
  <c r="H9" i="10"/>
  <c r="I9" i="10" s="1"/>
  <c r="G2" i="5"/>
  <c r="F75" i="5"/>
  <c r="G75" i="5"/>
  <c r="K75" i="5" s="1"/>
  <c r="G16" i="5"/>
  <c r="K16" i="5" s="1"/>
  <c r="E27" i="3"/>
  <c r="F16" i="3"/>
  <c r="E10" i="10"/>
  <c r="P10" i="10" s="1"/>
  <c r="S77" i="7"/>
  <c r="M68" i="7"/>
  <c r="U67" i="7"/>
  <c r="H36" i="7"/>
  <c r="V3" i="8" s="1"/>
  <c r="V5" i="8" s="1"/>
  <c r="U36" i="7"/>
  <c r="F57" i="14" s="1"/>
  <c r="G57" i="14" s="1"/>
  <c r="H57" i="14" s="1"/>
  <c r="I57" i="14" s="1"/>
  <c r="J57" i="14" s="1"/>
  <c r="F13" i="10"/>
  <c r="W24" i="10"/>
  <c r="L19" i="3"/>
  <c r="O19" i="3"/>
  <c r="H12" i="10"/>
  <c r="I12" i="10" s="1"/>
  <c r="M12" i="10"/>
  <c r="F115" i="5"/>
  <c r="G7" i="10"/>
  <c r="K7" i="10"/>
  <c r="N7" i="7"/>
  <c r="U7" i="7"/>
  <c r="U74" i="7"/>
  <c r="F29" i="14" s="1"/>
  <c r="G29" i="14" s="1"/>
  <c r="H29" i="14" s="1"/>
  <c r="I29" i="14" s="1"/>
  <c r="J29" i="14" s="1"/>
  <c r="U71" i="7"/>
  <c r="F51" i="14" s="1"/>
  <c r="G51" i="14" s="1"/>
  <c r="H51" i="14" s="1"/>
  <c r="I51" i="14" s="1"/>
  <c r="J51" i="14" s="1"/>
  <c r="N71" i="7"/>
  <c r="I9" i="6"/>
  <c r="F9" i="6"/>
  <c r="U83" i="12"/>
  <c r="S4" i="12"/>
  <c r="T8" i="12"/>
  <c r="T17" i="12"/>
  <c r="T20" i="12"/>
  <c r="T21" i="12"/>
  <c r="T25" i="12"/>
  <c r="T26" i="12"/>
  <c r="T30" i="12"/>
  <c r="T32" i="12"/>
  <c r="T35" i="12"/>
  <c r="T39" i="12"/>
  <c r="T43" i="12"/>
  <c r="T46" i="12"/>
  <c r="T67" i="12"/>
  <c r="T68" i="12" s="1"/>
  <c r="T70" i="12"/>
  <c r="T79" i="12"/>
  <c r="T27" i="12"/>
  <c r="T36" i="12"/>
  <c r="T40" i="12"/>
  <c r="T44" i="12"/>
  <c r="T47" i="12"/>
  <c r="T31" i="12"/>
  <c r="T37" i="12"/>
  <c r="T42" i="12"/>
  <c r="T49" i="12"/>
  <c r="T7" i="12"/>
  <c r="T28" i="12"/>
  <c r="T6" i="12"/>
  <c r="T15" i="12"/>
  <c r="T29" i="12"/>
  <c r="T33" i="12"/>
  <c r="T45" i="12"/>
  <c r="T34" i="12"/>
  <c r="T41" i="12"/>
  <c r="T80" i="12"/>
  <c r="G11" i="6"/>
  <c r="I11" i="6"/>
  <c r="F11" i="6"/>
  <c r="T48" i="12"/>
  <c r="F6" i="10"/>
  <c r="F106" i="5"/>
  <c r="F121" i="5" s="1"/>
  <c r="C24" i="8"/>
  <c r="M70" i="7"/>
  <c r="G70" i="7"/>
  <c r="D18" i="6"/>
  <c r="H10" i="6"/>
  <c r="K10" i="6" s="1"/>
  <c r="G14" i="6"/>
  <c r="I14" i="6"/>
  <c r="F14" i="6"/>
  <c r="G5" i="6"/>
  <c r="I5" i="6"/>
  <c r="F5" i="6"/>
  <c r="J13" i="6"/>
  <c r="L13" i="6" s="1"/>
  <c r="K13" i="12"/>
  <c r="G16" i="6"/>
  <c r="I16" i="6"/>
  <c r="F16" i="6"/>
  <c r="H16" i="6" s="1"/>
  <c r="K16" i="6" s="1"/>
  <c r="E9" i="6"/>
  <c r="G9" i="6" s="1"/>
  <c r="G8" i="6"/>
  <c r="G7" i="6"/>
  <c r="I7" i="6"/>
  <c r="F7" i="6"/>
  <c r="M79" i="12"/>
  <c r="U82" i="12"/>
  <c r="S77" i="12"/>
  <c r="S89" i="12" s="1"/>
  <c r="U74" i="12"/>
  <c r="C29" i="14" s="1"/>
  <c r="D29" i="14" s="1"/>
  <c r="E29" i="14" s="1"/>
  <c r="H73" i="12"/>
  <c r="U73" i="12"/>
  <c r="C58" i="14" s="1"/>
  <c r="D58" i="14" s="1"/>
  <c r="E58" i="14" s="1"/>
  <c r="H34" i="12"/>
  <c r="U34" i="12"/>
  <c r="C27" i="14" s="1"/>
  <c r="D27" i="14" s="1"/>
  <c r="E27" i="14" s="1"/>
  <c r="H82" i="13"/>
  <c r="U82" i="13"/>
  <c r="U45" i="13"/>
  <c r="K63" i="14" s="1"/>
  <c r="L63" i="14" s="1"/>
  <c r="M63" i="14" s="1"/>
  <c r="N63" i="14" s="1"/>
  <c r="H45" i="13"/>
  <c r="AE4" i="8" s="1"/>
  <c r="AE5" i="8" s="1"/>
  <c r="G51" i="13"/>
  <c r="G10" i="13"/>
  <c r="H4" i="13"/>
  <c r="U4" i="13"/>
  <c r="W4" i="13" s="1"/>
  <c r="E58" i="12"/>
  <c r="K61" i="12"/>
  <c r="T23" i="12"/>
  <c r="T19" i="12"/>
  <c r="U14" i="12"/>
  <c r="T14" i="12"/>
  <c r="S13" i="12"/>
  <c r="T13" i="12" s="1"/>
  <c r="Q13" i="12"/>
  <c r="N50" i="7"/>
  <c r="H70" i="12"/>
  <c r="H67" i="12"/>
  <c r="H68" i="12" s="1"/>
  <c r="U67" i="12"/>
  <c r="R14" i="12"/>
  <c r="U37" i="12"/>
  <c r="C69" i="14" s="1"/>
  <c r="H37" i="12"/>
  <c r="T22" i="12"/>
  <c r="T18" i="12"/>
  <c r="U5" i="7"/>
  <c r="G56" i="7" s="1"/>
  <c r="H83" i="13"/>
  <c r="U67" i="13"/>
  <c r="H12" i="6"/>
  <c r="K12" i="6" s="1"/>
  <c r="H26" i="12"/>
  <c r="H17" i="12"/>
  <c r="U25" i="12"/>
  <c r="H16" i="12"/>
  <c r="E13" i="12"/>
  <c r="C35" i="14" s="1"/>
  <c r="D35" i="14" s="1"/>
  <c r="E35" i="14" s="1"/>
  <c r="M10" i="12"/>
  <c r="H5" i="12"/>
  <c r="M70" i="13"/>
  <c r="U70" i="13" s="1"/>
  <c r="K44" i="14" s="1"/>
  <c r="L44" i="14" s="1"/>
  <c r="M44" i="14" s="1"/>
  <c r="N71" i="13"/>
  <c r="N73" i="13"/>
  <c r="U33" i="13"/>
  <c r="K26" i="14" s="1"/>
  <c r="L26" i="14" s="1"/>
  <c r="M26" i="14" s="1"/>
  <c r="N26" i="14" s="1"/>
  <c r="U84" i="12"/>
  <c r="N71" i="12"/>
  <c r="U71" i="12"/>
  <c r="C51" i="14" s="1"/>
  <c r="D51" i="14" s="1"/>
  <c r="E51" i="14" s="1"/>
  <c r="M50" i="12"/>
  <c r="U33" i="12"/>
  <c r="C26" i="14" s="1"/>
  <c r="H33" i="12"/>
  <c r="G13" i="12"/>
  <c r="N7" i="12"/>
  <c r="U7" i="12"/>
  <c r="S5" i="12"/>
  <c r="U5" i="12" s="1"/>
  <c r="T75" i="12"/>
  <c r="S50" i="7"/>
  <c r="H84" i="13"/>
  <c r="H81" i="13"/>
  <c r="U81" i="13"/>
  <c r="H70" i="13"/>
  <c r="U37" i="13"/>
  <c r="K69" i="14" s="1"/>
  <c r="H37" i="13"/>
  <c r="W4" i="8" s="1"/>
  <c r="W5" i="8" s="1"/>
  <c r="G10" i="12"/>
  <c r="U8" i="12"/>
  <c r="T77" i="13"/>
  <c r="T89" i="13" s="1"/>
  <c r="S77" i="13"/>
  <c r="H8" i="7"/>
  <c r="T4" i="7"/>
  <c r="H80" i="13"/>
  <c r="U80" i="13"/>
  <c r="H74" i="13"/>
  <c r="T4" i="13"/>
  <c r="U8" i="13"/>
  <c r="N7" i="13"/>
  <c r="M10" i="13"/>
  <c r="J6" i="6" l="1"/>
  <c r="L6" i="6" s="1"/>
  <c r="D26" i="14"/>
  <c r="U4" i="12"/>
  <c r="U21" i="12"/>
  <c r="M68" i="13"/>
  <c r="U34" i="13"/>
  <c r="K27" i="14" s="1"/>
  <c r="L27" i="14" s="1"/>
  <c r="M27" i="14" s="1"/>
  <c r="N27" i="14" s="1"/>
  <c r="G60" i="7"/>
  <c r="H60" i="7" s="1"/>
  <c r="C58" i="7"/>
  <c r="G58" i="7" s="1"/>
  <c r="C58" i="13"/>
  <c r="G58" i="13" s="1"/>
  <c r="G60" i="13"/>
  <c r="G59" i="13"/>
  <c r="G27" i="14"/>
  <c r="X5" i="8"/>
  <c r="W6" i="13"/>
  <c r="M76" i="12"/>
  <c r="N76" i="12" s="1"/>
  <c r="N77" i="12" s="1"/>
  <c r="N89" i="12" s="1"/>
  <c r="U23" i="12"/>
  <c r="U20" i="12"/>
  <c r="U70" i="12"/>
  <c r="C44" i="14" s="1"/>
  <c r="D44" i="14" s="1"/>
  <c r="E44" i="14" s="1"/>
  <c r="J15" i="6"/>
  <c r="L15" i="6" s="1"/>
  <c r="F25" i="13" s="1"/>
  <c r="L25" i="13" s="1"/>
  <c r="R25" i="13" s="1"/>
  <c r="H11" i="6"/>
  <c r="K11" i="6" s="1"/>
  <c r="E20" i="7" s="1"/>
  <c r="K20" i="7" s="1"/>
  <c r="Q20" i="7" s="1"/>
  <c r="H8" i="6"/>
  <c r="K8" i="6" s="1"/>
  <c r="E15" i="13"/>
  <c r="K15" i="13" s="1"/>
  <c r="Q15" i="13" s="1"/>
  <c r="E15" i="7"/>
  <c r="K15" i="7" s="1"/>
  <c r="Q15" i="7" s="1"/>
  <c r="H7" i="6"/>
  <c r="K7" i="6" s="1"/>
  <c r="E16" i="7" s="1"/>
  <c r="K16" i="7" s="1"/>
  <c r="J8" i="6"/>
  <c r="L8" i="6" s="1"/>
  <c r="F17" i="13" s="1"/>
  <c r="L17" i="13" s="1"/>
  <c r="R17" i="13" s="1"/>
  <c r="H13" i="6"/>
  <c r="K13" i="6" s="1"/>
  <c r="J7" i="6"/>
  <c r="L7" i="6" s="1"/>
  <c r="F16" i="13" s="1"/>
  <c r="L16" i="13" s="1"/>
  <c r="J16" i="6"/>
  <c r="L16" i="6" s="1"/>
  <c r="F26" i="7" s="1"/>
  <c r="L26" i="7" s="1"/>
  <c r="R26" i="7" s="1"/>
  <c r="S5" i="8"/>
  <c r="AR22" i="8" s="1"/>
  <c r="K8" i="10"/>
  <c r="G8" i="10"/>
  <c r="L9" i="10"/>
  <c r="M9" i="10" s="1"/>
  <c r="U10" i="12"/>
  <c r="K11" i="10"/>
  <c r="G11" i="10"/>
  <c r="G20" i="14"/>
  <c r="F21" i="14"/>
  <c r="U17" i="12"/>
  <c r="L69" i="14"/>
  <c r="M69" i="14" s="1"/>
  <c r="N69" i="14" s="1"/>
  <c r="K68" i="14"/>
  <c r="L68" i="14" s="1"/>
  <c r="M68" i="14" s="1"/>
  <c r="N68" i="14" s="1"/>
  <c r="D69" i="14"/>
  <c r="E69" i="14" s="1"/>
  <c r="C68" i="14"/>
  <c r="G69" i="14"/>
  <c r="H69" i="14" s="1"/>
  <c r="I69" i="14" s="1"/>
  <c r="J69" i="14" s="1"/>
  <c r="F68" i="14"/>
  <c r="G68" i="14" s="1"/>
  <c r="H68" i="14" s="1"/>
  <c r="I68" i="14" s="1"/>
  <c r="J68" i="14" s="1"/>
  <c r="N64" i="14"/>
  <c r="M64" i="14"/>
  <c r="L64" i="14"/>
  <c r="J10" i="14"/>
  <c r="G10" i="14"/>
  <c r="N15" i="12"/>
  <c r="I10" i="14"/>
  <c r="N84" i="7"/>
  <c r="H10" i="14"/>
  <c r="U75" i="7"/>
  <c r="F30" i="14" s="1"/>
  <c r="G30" i="14" s="1"/>
  <c r="H30" i="14" s="1"/>
  <c r="I30" i="14" s="1"/>
  <c r="J30" i="14" s="1"/>
  <c r="M76" i="7"/>
  <c r="N76" i="7" s="1"/>
  <c r="F10" i="14"/>
  <c r="U51" i="7"/>
  <c r="F42" i="14" s="1"/>
  <c r="G42" i="14" s="1"/>
  <c r="H42" i="14" s="1"/>
  <c r="I42" i="14" s="1"/>
  <c r="J42" i="14" s="1"/>
  <c r="H34" i="13"/>
  <c r="T4" i="8" s="1"/>
  <c r="T5" i="8" s="1"/>
  <c r="AR21" i="8" s="1"/>
  <c r="N19" i="12"/>
  <c r="U16" i="12"/>
  <c r="U22" i="12"/>
  <c r="C34" i="14"/>
  <c r="D34" i="14" s="1"/>
  <c r="E34" i="14" s="1"/>
  <c r="V32" i="13"/>
  <c r="K48" i="14"/>
  <c r="L48" i="14" s="1"/>
  <c r="M48" i="14" s="1"/>
  <c r="N48" i="14" s="1"/>
  <c r="O48" i="14" s="1"/>
  <c r="G85" i="13"/>
  <c r="H85" i="13" s="1"/>
  <c r="W67" i="13"/>
  <c r="K25" i="14"/>
  <c r="U79" i="7"/>
  <c r="H79" i="7"/>
  <c r="U68" i="7"/>
  <c r="F25" i="14"/>
  <c r="O57" i="14"/>
  <c r="F17" i="14"/>
  <c r="M47" i="14"/>
  <c r="N47" i="14" s="1"/>
  <c r="N44" i="14"/>
  <c r="K10" i="14"/>
  <c r="O63" i="14"/>
  <c r="O58" i="14"/>
  <c r="O51" i="14"/>
  <c r="O49" i="14"/>
  <c r="G16" i="14"/>
  <c r="O52" i="14"/>
  <c r="O71" i="14"/>
  <c r="O62" i="14"/>
  <c r="O67" i="14"/>
  <c r="O64" i="14" s="1"/>
  <c r="O70" i="14"/>
  <c r="O61" i="14"/>
  <c r="U68" i="12"/>
  <c r="C25" i="14"/>
  <c r="C19" i="14"/>
  <c r="C21" i="14" s="1"/>
  <c r="S50" i="12"/>
  <c r="S10" i="12"/>
  <c r="S51" i="12"/>
  <c r="U26" i="12"/>
  <c r="C17" i="14"/>
  <c r="D13" i="14"/>
  <c r="E13" i="14" s="1"/>
  <c r="D14" i="14"/>
  <c r="E14" i="14" s="1"/>
  <c r="M56" i="13"/>
  <c r="M85" i="13"/>
  <c r="N85" i="13" s="1"/>
  <c r="U84" i="13"/>
  <c r="W84" i="13" s="1"/>
  <c r="U56" i="13"/>
  <c r="G76" i="13"/>
  <c r="G77" i="13" s="1"/>
  <c r="O6" i="14"/>
  <c r="W7" i="13"/>
  <c r="V34" i="13"/>
  <c r="W34" i="13"/>
  <c r="W32" i="13"/>
  <c r="U74" i="13"/>
  <c r="W36" i="13"/>
  <c r="N83" i="13"/>
  <c r="U75" i="13"/>
  <c r="U79" i="13"/>
  <c r="W73" i="13"/>
  <c r="W81" i="13"/>
  <c r="W35" i="13"/>
  <c r="V37" i="13"/>
  <c r="W37" i="13"/>
  <c r="V33" i="13"/>
  <c r="W33" i="13"/>
  <c r="O7" i="14"/>
  <c r="W5" i="13"/>
  <c r="S56" i="13"/>
  <c r="W82" i="13"/>
  <c r="W71" i="13"/>
  <c r="W80" i="13"/>
  <c r="U50" i="13"/>
  <c r="W8" i="13"/>
  <c r="W83" i="13"/>
  <c r="V45" i="13"/>
  <c r="W45" i="13"/>
  <c r="W9" i="13"/>
  <c r="W72" i="13"/>
  <c r="M8" i="14"/>
  <c r="N8" i="14" s="1"/>
  <c r="N10" i="14" s="1"/>
  <c r="N79" i="13"/>
  <c r="L10" i="14"/>
  <c r="T51" i="13"/>
  <c r="O9" i="14"/>
  <c r="J12" i="14"/>
  <c r="D12" i="14"/>
  <c r="E12" i="14" s="1"/>
  <c r="M77" i="12"/>
  <c r="M89" i="12" s="1"/>
  <c r="R13" i="12"/>
  <c r="L13" i="12"/>
  <c r="H51" i="12"/>
  <c r="C10" i="14"/>
  <c r="D5" i="14"/>
  <c r="U18" i="12"/>
  <c r="M13" i="12"/>
  <c r="N13" i="12" s="1"/>
  <c r="M56" i="12"/>
  <c r="I58" i="12" s="1"/>
  <c r="G56" i="12"/>
  <c r="C58" i="12" s="1"/>
  <c r="U56" i="12"/>
  <c r="F17" i="7"/>
  <c r="L17" i="7" s="1"/>
  <c r="R17" i="7" s="1"/>
  <c r="G62" i="13"/>
  <c r="G61" i="13"/>
  <c r="G63" i="13"/>
  <c r="C64" i="13"/>
  <c r="G64" i="13" s="1"/>
  <c r="U50" i="7"/>
  <c r="F43" i="14" s="1"/>
  <c r="G43" i="14" s="1"/>
  <c r="H43" i="14" s="1"/>
  <c r="I43" i="14" s="1"/>
  <c r="J43" i="14" s="1"/>
  <c r="T50" i="7"/>
  <c r="N50" i="12"/>
  <c r="N70" i="13"/>
  <c r="M76" i="13"/>
  <c r="M77" i="13" s="1"/>
  <c r="E17" i="13"/>
  <c r="K17" i="13" s="1"/>
  <c r="Q17" i="13" s="1"/>
  <c r="M8" i="6"/>
  <c r="E17" i="7"/>
  <c r="K17" i="7" s="1"/>
  <c r="Q17" i="7" s="1"/>
  <c r="U51" i="13"/>
  <c r="K42" i="14" s="1"/>
  <c r="L42" i="14" s="1"/>
  <c r="M42" i="14" s="1"/>
  <c r="N42" i="14" s="1"/>
  <c r="H51" i="13"/>
  <c r="AJ4" i="8" s="1"/>
  <c r="AJ5" i="8" s="1"/>
  <c r="F15" i="13"/>
  <c r="L15" i="13" s="1"/>
  <c r="R15" i="13" s="1"/>
  <c r="F15" i="7"/>
  <c r="L15" i="7" s="1"/>
  <c r="R15" i="7" s="1"/>
  <c r="E25" i="13"/>
  <c r="K25" i="13" s="1"/>
  <c r="Q25" i="13" s="1"/>
  <c r="M15" i="6"/>
  <c r="E25" i="7"/>
  <c r="K25" i="7" s="1"/>
  <c r="Q25" i="7" s="1"/>
  <c r="F22" i="13"/>
  <c r="L22" i="13" s="1"/>
  <c r="R22" i="13" s="1"/>
  <c r="F22" i="7"/>
  <c r="L22" i="7" s="1"/>
  <c r="R22" i="7" s="1"/>
  <c r="F21" i="13"/>
  <c r="L21" i="13" s="1"/>
  <c r="R21" i="13" s="1"/>
  <c r="F21" i="7"/>
  <c r="L21" i="7" s="1"/>
  <c r="R21" i="7" s="1"/>
  <c r="E19" i="13"/>
  <c r="K19" i="13" s="1"/>
  <c r="Q19" i="13" s="1"/>
  <c r="M10" i="6"/>
  <c r="E19" i="7"/>
  <c r="K19" i="7" s="1"/>
  <c r="Q19" i="7" s="1"/>
  <c r="N70" i="7"/>
  <c r="T4" i="12"/>
  <c r="J11" i="6"/>
  <c r="L11" i="6" s="1"/>
  <c r="G13" i="10"/>
  <c r="K13" i="10"/>
  <c r="F27" i="3"/>
  <c r="J90" i="5"/>
  <c r="N14" i="10"/>
  <c r="Q14" i="10"/>
  <c r="T91" i="13"/>
  <c r="H13" i="12"/>
  <c r="E21" i="13"/>
  <c r="K21" i="13" s="1"/>
  <c r="Q21" i="13" s="1"/>
  <c r="M12" i="6"/>
  <c r="E21" i="7"/>
  <c r="K21" i="7" s="1"/>
  <c r="Q21" i="7" s="1"/>
  <c r="F18" i="6"/>
  <c r="E18" i="6"/>
  <c r="T87" i="12"/>
  <c r="L7" i="10"/>
  <c r="Q12" i="10"/>
  <c r="N12" i="10"/>
  <c r="F10" i="10"/>
  <c r="K2" i="5"/>
  <c r="K121" i="5" s="1"/>
  <c r="G121" i="5"/>
  <c r="F124" i="5" s="1"/>
  <c r="E17" i="10"/>
  <c r="P5" i="10"/>
  <c r="P17" i="10" s="1"/>
  <c r="T5" i="12"/>
  <c r="S56" i="12"/>
  <c r="O58" i="12" s="1"/>
  <c r="V68" i="13"/>
  <c r="U68" i="13"/>
  <c r="G59" i="7"/>
  <c r="G62" i="7"/>
  <c r="G61" i="7"/>
  <c r="G63" i="7"/>
  <c r="C64" i="7"/>
  <c r="G64" i="7" s="1"/>
  <c r="J9" i="6"/>
  <c r="L9" i="6" s="1"/>
  <c r="E26" i="13"/>
  <c r="K26" i="13" s="1"/>
  <c r="Q26" i="13" s="1"/>
  <c r="E26" i="7"/>
  <c r="K26" i="7" s="1"/>
  <c r="Q26" i="7" s="1"/>
  <c r="I18" i="6"/>
  <c r="G76" i="7"/>
  <c r="G77" i="7" s="1"/>
  <c r="H70" i="7"/>
  <c r="U70" i="7"/>
  <c r="F19" i="13"/>
  <c r="L19" i="13" s="1"/>
  <c r="R19" i="13" s="1"/>
  <c r="F19" i="7"/>
  <c r="L19" i="7" s="1"/>
  <c r="R19" i="7" s="1"/>
  <c r="T77" i="12"/>
  <c r="T89" i="12" s="1"/>
  <c r="H9" i="6"/>
  <c r="K9" i="6" s="1"/>
  <c r="H7" i="10"/>
  <c r="I7" i="10" s="1"/>
  <c r="M7" i="10"/>
  <c r="G5" i="10"/>
  <c r="K5" i="10"/>
  <c r="M5" i="10"/>
  <c r="T10" i="7"/>
  <c r="T65" i="13"/>
  <c r="G85" i="7"/>
  <c r="M85" i="7"/>
  <c r="S56" i="7"/>
  <c r="M56" i="7"/>
  <c r="U56" i="7"/>
  <c r="U10" i="7"/>
  <c r="G76" i="12"/>
  <c r="U10" i="13"/>
  <c r="U79" i="12"/>
  <c r="G18" i="6"/>
  <c r="J5" i="6"/>
  <c r="H5" i="6"/>
  <c r="J14" i="6"/>
  <c r="L14" i="6" s="1"/>
  <c r="H14" i="6"/>
  <c r="K14" i="6" s="1"/>
  <c r="K6" i="10"/>
  <c r="G6" i="10"/>
  <c r="M6" i="6"/>
  <c r="E16" i="13" l="1"/>
  <c r="K16" i="13" s="1"/>
  <c r="E20" i="13"/>
  <c r="K20" i="13" s="1"/>
  <c r="Q20" i="13" s="1"/>
  <c r="E26" i="14"/>
  <c r="O26" i="14"/>
  <c r="N77" i="7"/>
  <c r="N89" i="7" s="1"/>
  <c r="I58" i="7"/>
  <c r="M60" i="7"/>
  <c r="N60" i="7" s="1"/>
  <c r="W56" i="13"/>
  <c r="M60" i="13"/>
  <c r="N60" i="13" s="1"/>
  <c r="I58" i="13"/>
  <c r="M58" i="13" s="1"/>
  <c r="N58" i="13" s="1"/>
  <c r="H27" i="14"/>
  <c r="F25" i="7"/>
  <c r="L25" i="7" s="1"/>
  <c r="R25" i="7" s="1"/>
  <c r="F16" i="7"/>
  <c r="L16" i="7" s="1"/>
  <c r="M7" i="6"/>
  <c r="G16" i="13" s="1"/>
  <c r="F26" i="13"/>
  <c r="L26" i="13" s="1"/>
  <c r="R26" i="13" s="1"/>
  <c r="M16" i="6"/>
  <c r="G26" i="13" s="1"/>
  <c r="E22" i="7"/>
  <c r="K22" i="7" s="1"/>
  <c r="Q22" i="7" s="1"/>
  <c r="E22" i="13"/>
  <c r="K22" i="13" s="1"/>
  <c r="Q22" i="13" s="1"/>
  <c r="M13" i="6"/>
  <c r="L11" i="10"/>
  <c r="L8" i="10"/>
  <c r="M8" i="10" s="1"/>
  <c r="L13" i="10"/>
  <c r="M59" i="13"/>
  <c r="N59" i="13" s="1"/>
  <c r="Q9" i="10"/>
  <c r="N9" i="10"/>
  <c r="H11" i="10"/>
  <c r="I11" i="10" s="1"/>
  <c r="M11" i="10"/>
  <c r="H8" i="10"/>
  <c r="I8" i="10"/>
  <c r="C22" i="14"/>
  <c r="H20" i="14"/>
  <c r="G21" i="14"/>
  <c r="O69" i="14"/>
  <c r="D68" i="14"/>
  <c r="E68" i="14" s="1"/>
  <c r="F22" i="14"/>
  <c r="W68" i="13"/>
  <c r="M77" i="7"/>
  <c r="U85" i="13"/>
  <c r="K33" i="14" s="1"/>
  <c r="L33" i="14" s="1"/>
  <c r="M33" i="14" s="1"/>
  <c r="N33" i="14" s="1"/>
  <c r="W79" i="13"/>
  <c r="U76" i="13"/>
  <c r="K39" i="14" s="1"/>
  <c r="L39" i="14" s="1"/>
  <c r="M39" i="14" s="1"/>
  <c r="N39" i="14" s="1"/>
  <c r="G86" i="13"/>
  <c r="S52" i="12"/>
  <c r="O47" i="14"/>
  <c r="M63" i="13"/>
  <c r="N63" i="13" s="1"/>
  <c r="H76" i="13"/>
  <c r="H77" i="13" s="1"/>
  <c r="H89" i="13" s="1"/>
  <c r="M86" i="13"/>
  <c r="M87" i="13" s="1"/>
  <c r="M90" i="13" s="1"/>
  <c r="M62" i="13"/>
  <c r="N62" i="13" s="1"/>
  <c r="M61" i="13"/>
  <c r="N61" i="13" s="1"/>
  <c r="I64" i="13"/>
  <c r="M64" i="13" s="1"/>
  <c r="N64" i="13" s="1"/>
  <c r="V74" i="13"/>
  <c r="K29" i="14"/>
  <c r="V50" i="13"/>
  <c r="K43" i="14"/>
  <c r="L43" i="14" s="1"/>
  <c r="M43" i="14" s="1"/>
  <c r="N43" i="14" s="1"/>
  <c r="W75" i="13"/>
  <c r="K30" i="14"/>
  <c r="L25" i="14"/>
  <c r="G25" i="14"/>
  <c r="W70" i="13"/>
  <c r="F44" i="14"/>
  <c r="G44" i="14" s="1"/>
  <c r="H44" i="14" s="1"/>
  <c r="I44" i="14" s="1"/>
  <c r="J44" i="14" s="1"/>
  <c r="D25" i="14"/>
  <c r="E17" i="14"/>
  <c r="O13" i="14"/>
  <c r="H16" i="14"/>
  <c r="G17" i="14"/>
  <c r="D19" i="14"/>
  <c r="U50" i="12"/>
  <c r="C43" i="14" s="1"/>
  <c r="E5" i="14"/>
  <c r="E10" i="14" s="1"/>
  <c r="D10" i="14"/>
  <c r="D17" i="14"/>
  <c r="O14" i="14"/>
  <c r="O8" i="14"/>
  <c r="M10" i="14"/>
  <c r="V75" i="13"/>
  <c r="W50" i="13"/>
  <c r="W74" i="13"/>
  <c r="W10" i="13"/>
  <c r="S62" i="13"/>
  <c r="O64" i="13"/>
  <c r="S64" i="13" s="1"/>
  <c r="S61" i="13"/>
  <c r="S59" i="13"/>
  <c r="O58" i="13"/>
  <c r="S58" i="13" s="1"/>
  <c r="S63" i="13"/>
  <c r="S60" i="13"/>
  <c r="V51" i="13"/>
  <c r="W51" i="13"/>
  <c r="L19" i="14"/>
  <c r="L12" i="14"/>
  <c r="M86" i="12"/>
  <c r="U13" i="12"/>
  <c r="H52" i="12"/>
  <c r="G53" i="12"/>
  <c r="N87" i="12"/>
  <c r="M52" i="12"/>
  <c r="M16" i="13"/>
  <c r="M16" i="7"/>
  <c r="N16" i="7" s="1"/>
  <c r="G16" i="7"/>
  <c r="V4" i="13"/>
  <c r="V10" i="13"/>
  <c r="N85" i="7"/>
  <c r="M86" i="7"/>
  <c r="N86" i="7" s="1"/>
  <c r="K5" i="6"/>
  <c r="H18" i="6"/>
  <c r="U85" i="7"/>
  <c r="H85" i="7"/>
  <c r="G86" i="7"/>
  <c r="G87" i="7" s="1"/>
  <c r="G90" i="7" s="1"/>
  <c r="L5" i="10"/>
  <c r="N7" i="10"/>
  <c r="Q7" i="10"/>
  <c r="U76" i="7"/>
  <c r="U77" i="7" s="1"/>
  <c r="U89" i="7" s="1"/>
  <c r="H76" i="7"/>
  <c r="H77" i="7" s="1"/>
  <c r="H89" i="7" s="1"/>
  <c r="F18" i="13"/>
  <c r="L18" i="13" s="1"/>
  <c r="R18" i="13" s="1"/>
  <c r="F18" i="7"/>
  <c r="L18" i="7" s="1"/>
  <c r="R18" i="7" s="1"/>
  <c r="H61" i="7"/>
  <c r="M21" i="13"/>
  <c r="S21" i="13"/>
  <c r="M21" i="7"/>
  <c r="N21" i="7" s="1"/>
  <c r="G21" i="13"/>
  <c r="S21" i="7"/>
  <c r="T21" i="7" s="1"/>
  <c r="G21" i="7"/>
  <c r="J121" i="5"/>
  <c r="J123" i="5"/>
  <c r="M13" i="10"/>
  <c r="H13" i="10"/>
  <c r="I13" i="10"/>
  <c r="H52" i="13"/>
  <c r="AK4" i="8" s="1"/>
  <c r="AK5" i="8" s="1"/>
  <c r="AR18" i="8" s="1"/>
  <c r="H61" i="13"/>
  <c r="U85" i="12"/>
  <c r="G86" i="12"/>
  <c r="G90" i="12" s="1"/>
  <c r="F23" i="13"/>
  <c r="L23" i="13" s="1"/>
  <c r="R23" i="13" s="1"/>
  <c r="F23" i="7"/>
  <c r="L23" i="7" s="1"/>
  <c r="R23" i="7" s="1"/>
  <c r="G15" i="13"/>
  <c r="S15" i="13"/>
  <c r="S15" i="7"/>
  <c r="T15" i="7" s="1"/>
  <c r="M15" i="13"/>
  <c r="M15" i="7"/>
  <c r="N15" i="7" s="1"/>
  <c r="G15" i="7"/>
  <c r="J18" i="6"/>
  <c r="L5" i="6"/>
  <c r="M58" i="7"/>
  <c r="M59" i="7"/>
  <c r="N59" i="7" s="1"/>
  <c r="M63" i="7"/>
  <c r="N63" i="7" s="1"/>
  <c r="I64" i="7"/>
  <c r="M64" i="7" s="1"/>
  <c r="N64" i="7" s="1"/>
  <c r="M62" i="7"/>
  <c r="N62" i="7" s="1"/>
  <c r="M61" i="7"/>
  <c r="N61" i="7" s="1"/>
  <c r="H5" i="10"/>
  <c r="I5" i="10"/>
  <c r="E18" i="13"/>
  <c r="K18" i="13" s="1"/>
  <c r="Q18" i="13" s="1"/>
  <c r="M9" i="6"/>
  <c r="E18" i="7"/>
  <c r="K18" i="7" s="1"/>
  <c r="Q18" i="7" s="1"/>
  <c r="M26" i="7"/>
  <c r="N26" i="7" s="1"/>
  <c r="S26" i="13"/>
  <c r="H64" i="7"/>
  <c r="H62" i="7"/>
  <c r="G10" i="10"/>
  <c r="G17" i="10" s="1"/>
  <c r="K10" i="10"/>
  <c r="L10" i="10" s="1"/>
  <c r="F20" i="13"/>
  <c r="L20" i="13" s="1"/>
  <c r="R20" i="13" s="1"/>
  <c r="F20" i="7"/>
  <c r="L20" i="7" s="1"/>
  <c r="R20" i="7" s="1"/>
  <c r="S53" i="12"/>
  <c r="S54" i="12" s="1"/>
  <c r="G19" i="13"/>
  <c r="S19" i="13"/>
  <c r="M19" i="13"/>
  <c r="S19" i="7"/>
  <c r="T19" i="7" s="1"/>
  <c r="M19" i="7"/>
  <c r="N19" i="7" s="1"/>
  <c r="G19" i="7"/>
  <c r="M17" i="13"/>
  <c r="G17" i="13"/>
  <c r="M17" i="7"/>
  <c r="N17" i="7" s="1"/>
  <c r="S17" i="7"/>
  <c r="T17" i="7" s="1"/>
  <c r="S17" i="13"/>
  <c r="G17" i="7"/>
  <c r="G65" i="13"/>
  <c r="H58" i="13"/>
  <c r="H60" i="13"/>
  <c r="M11" i="6"/>
  <c r="M58" i="12"/>
  <c r="M61" i="12"/>
  <c r="N61" i="12" s="1"/>
  <c r="I64" i="12"/>
  <c r="M64" i="12" s="1"/>
  <c r="N64" i="12" s="1"/>
  <c r="M60" i="12"/>
  <c r="N60" i="12" s="1"/>
  <c r="M63" i="12"/>
  <c r="N63" i="12" s="1"/>
  <c r="M59" i="12"/>
  <c r="N59" i="12" s="1"/>
  <c r="M62" i="12"/>
  <c r="N62" i="12" s="1"/>
  <c r="H6" i="10"/>
  <c r="I6" i="10" s="1"/>
  <c r="N6" i="10"/>
  <c r="E23" i="13"/>
  <c r="K23" i="13" s="1"/>
  <c r="Q23" i="13" s="1"/>
  <c r="M14" i="6"/>
  <c r="E23" i="7"/>
  <c r="K23" i="7" s="1"/>
  <c r="Q23" i="7" s="1"/>
  <c r="U76" i="12"/>
  <c r="H76" i="12"/>
  <c r="H77" i="12" s="1"/>
  <c r="H89" i="12" s="1"/>
  <c r="O58" i="7"/>
  <c r="S58" i="7" s="1"/>
  <c r="O64" i="7"/>
  <c r="S64" i="7" s="1"/>
  <c r="S63" i="7"/>
  <c r="S59" i="7"/>
  <c r="S62" i="7"/>
  <c r="S61" i="7"/>
  <c r="S60" i="7"/>
  <c r="H59" i="7"/>
  <c r="T51" i="12"/>
  <c r="U51" i="12"/>
  <c r="C42" i="14" s="1"/>
  <c r="M25" i="13"/>
  <c r="G25" i="13"/>
  <c r="S25" i="13"/>
  <c r="S25" i="7"/>
  <c r="T25" i="7" s="1"/>
  <c r="M25" i="7"/>
  <c r="N25" i="7" s="1"/>
  <c r="G25" i="7"/>
  <c r="N76" i="13"/>
  <c r="N77" i="13" s="1"/>
  <c r="N89" i="13" s="1"/>
  <c r="H64" i="13"/>
  <c r="H59" i="13"/>
  <c r="Q5" i="10"/>
  <c r="N5" i="10"/>
  <c r="H63" i="7"/>
  <c r="G65" i="7"/>
  <c r="H58" i="7"/>
  <c r="S62" i="12"/>
  <c r="T62" i="12" s="1"/>
  <c r="S59" i="12"/>
  <c r="T59" i="12" s="1"/>
  <c r="S58" i="12"/>
  <c r="S61" i="12"/>
  <c r="T61" i="12" s="1"/>
  <c r="S63" i="12"/>
  <c r="T63" i="12" s="1"/>
  <c r="O64" i="12"/>
  <c r="S64" i="12" s="1"/>
  <c r="T64" i="12" s="1"/>
  <c r="S60" i="12"/>
  <c r="T60" i="12" s="1"/>
  <c r="T50" i="12"/>
  <c r="H63" i="13"/>
  <c r="H62" i="13"/>
  <c r="G77" i="12"/>
  <c r="G89" i="12" s="1"/>
  <c r="G62" i="12"/>
  <c r="G59" i="12"/>
  <c r="G63" i="12"/>
  <c r="G58" i="12"/>
  <c r="C64" i="12"/>
  <c r="G64" i="12" s="1"/>
  <c r="G60" i="12"/>
  <c r="G61" i="12"/>
  <c r="G26" i="7" l="1"/>
  <c r="M26" i="13"/>
  <c r="S26" i="7"/>
  <c r="T26" i="7" s="1"/>
  <c r="U63" i="13"/>
  <c r="K54" i="14" s="1"/>
  <c r="L54" i="14" s="1"/>
  <c r="M54" i="14" s="1"/>
  <c r="N54" i="14" s="1"/>
  <c r="I27" i="14"/>
  <c r="U77" i="13"/>
  <c r="W77" i="13" s="1"/>
  <c r="M22" i="13"/>
  <c r="N22" i="13" s="1"/>
  <c r="M22" i="7"/>
  <c r="N22" i="7" s="1"/>
  <c r="G22" i="13"/>
  <c r="S22" i="7"/>
  <c r="T22" i="7" s="1"/>
  <c r="S22" i="13"/>
  <c r="T22" i="13" s="1"/>
  <c r="G22" i="7"/>
  <c r="AR19" i="8"/>
  <c r="Q11" i="10"/>
  <c r="N11" i="10"/>
  <c r="N8" i="10"/>
  <c r="Q8" i="10"/>
  <c r="E19" i="14"/>
  <c r="E21" i="14" s="1"/>
  <c r="E22" i="14" s="1"/>
  <c r="D21" i="14"/>
  <c r="G22" i="14"/>
  <c r="I20" i="14"/>
  <c r="H21" i="14"/>
  <c r="O68" i="14"/>
  <c r="U64" i="13"/>
  <c r="K28" i="14" s="1"/>
  <c r="U86" i="13"/>
  <c r="U62" i="13"/>
  <c r="K46" i="14" s="1"/>
  <c r="L46" i="14" s="1"/>
  <c r="N86" i="13"/>
  <c r="N87" i="13" s="1"/>
  <c r="M65" i="13"/>
  <c r="L90" i="13" s="1"/>
  <c r="G87" i="13"/>
  <c r="H86" i="13"/>
  <c r="H87" i="13" s="1"/>
  <c r="C33" i="14"/>
  <c r="D33" i="14" s="1"/>
  <c r="E33" i="14" s="1"/>
  <c r="L30" i="14"/>
  <c r="M30" i="14" s="1"/>
  <c r="N30" i="14" s="1"/>
  <c r="M25" i="14"/>
  <c r="L29" i="14"/>
  <c r="M29" i="14" s="1"/>
  <c r="N29" i="14" s="1"/>
  <c r="U63" i="7"/>
  <c r="F54" i="14" s="1"/>
  <c r="G54" i="14" s="1"/>
  <c r="H54" i="14" s="1"/>
  <c r="I54" i="14" s="1"/>
  <c r="J54" i="14" s="1"/>
  <c r="U58" i="7"/>
  <c r="F32" i="14" s="1"/>
  <c r="W85" i="13"/>
  <c r="F33" i="14"/>
  <c r="H25" i="14"/>
  <c r="U59" i="7"/>
  <c r="F50" i="14" s="1"/>
  <c r="G50" i="14" s="1"/>
  <c r="H50" i="14" s="1"/>
  <c r="I50" i="14" s="1"/>
  <c r="J50" i="14" s="1"/>
  <c r="W76" i="13"/>
  <c r="F39" i="14"/>
  <c r="G39" i="14" s="1"/>
  <c r="H39" i="14" s="1"/>
  <c r="I39" i="14" s="1"/>
  <c r="J39" i="14" s="1"/>
  <c r="E25" i="14"/>
  <c r="O44" i="14"/>
  <c r="D42" i="14"/>
  <c r="E42" i="14" s="1"/>
  <c r="D22" i="14"/>
  <c r="D43" i="14"/>
  <c r="I16" i="14"/>
  <c r="H17" i="14"/>
  <c r="U77" i="12"/>
  <c r="C39" i="14"/>
  <c r="O5" i="14"/>
  <c r="O10" i="14" s="1"/>
  <c r="U59" i="13"/>
  <c r="K50" i="14" s="1"/>
  <c r="L50" i="14" s="1"/>
  <c r="M50" i="14" s="1"/>
  <c r="N50" i="14" s="1"/>
  <c r="U61" i="13"/>
  <c r="K60" i="14" s="1"/>
  <c r="V87" i="13"/>
  <c r="H65" i="7"/>
  <c r="U62" i="7"/>
  <c r="S65" i="13"/>
  <c r="V63" i="13"/>
  <c r="N65" i="13"/>
  <c r="V61" i="13"/>
  <c r="V59" i="13"/>
  <c r="U60" i="13"/>
  <c r="K53" i="14" s="1"/>
  <c r="L53" i="14" s="1"/>
  <c r="M53" i="14" s="1"/>
  <c r="N53" i="14" s="1"/>
  <c r="U58" i="13"/>
  <c r="K32" i="14" s="1"/>
  <c r="V64" i="13"/>
  <c r="M12" i="14"/>
  <c r="M19" i="14"/>
  <c r="N52" i="12"/>
  <c r="M53" i="12"/>
  <c r="U53" i="12" s="1"/>
  <c r="U54" i="12" s="1"/>
  <c r="M90" i="12"/>
  <c r="G54" i="12"/>
  <c r="H53" i="12"/>
  <c r="H54" i="12" s="1"/>
  <c r="T58" i="12"/>
  <c r="T65" i="12" s="1"/>
  <c r="S65" i="12"/>
  <c r="S88" i="12" s="1"/>
  <c r="S91" i="12" s="1"/>
  <c r="N25" i="13"/>
  <c r="H61" i="12"/>
  <c r="U61" i="12"/>
  <c r="C60" i="14" s="1"/>
  <c r="C59" i="14" s="1"/>
  <c r="T53" i="12"/>
  <c r="T54" i="12" s="1"/>
  <c r="H25" i="7"/>
  <c r="M3" i="8" s="1"/>
  <c r="U25" i="7"/>
  <c r="U60" i="12"/>
  <c r="C53" i="14" s="1"/>
  <c r="H60" i="12"/>
  <c r="T25" i="13"/>
  <c r="U60" i="7"/>
  <c r="F53" i="14" s="1"/>
  <c r="G53" i="14" s="1"/>
  <c r="H53" i="14" s="1"/>
  <c r="I53" i="14" s="1"/>
  <c r="J53" i="14" s="1"/>
  <c r="H64" i="12"/>
  <c r="U64" i="12"/>
  <c r="C28" i="14" s="1"/>
  <c r="C78" i="14" s="1"/>
  <c r="C79" i="14" s="1"/>
  <c r="H62" i="12"/>
  <c r="U62" i="12"/>
  <c r="C46" i="14" s="1"/>
  <c r="C45" i="14" s="1"/>
  <c r="V77" i="13"/>
  <c r="U25" i="13"/>
  <c r="H25" i="13"/>
  <c r="M4" i="8" s="1"/>
  <c r="M5" i="8" s="1"/>
  <c r="S65" i="7"/>
  <c r="T65" i="7"/>
  <c r="M20" i="13"/>
  <c r="S20" i="7"/>
  <c r="T20" i="7" s="1"/>
  <c r="S20" i="13"/>
  <c r="G20" i="13"/>
  <c r="G20" i="7"/>
  <c r="M20" i="7"/>
  <c r="N20" i="7" s="1"/>
  <c r="H17" i="7"/>
  <c r="F3" i="8" s="1"/>
  <c r="U17" i="7"/>
  <c r="N17" i="13"/>
  <c r="N19" i="13"/>
  <c r="H10" i="10"/>
  <c r="H17" i="10" s="1"/>
  <c r="M10" i="10"/>
  <c r="I10" i="10"/>
  <c r="I17" i="10" s="1"/>
  <c r="H26" i="13"/>
  <c r="N4" i="8" s="1"/>
  <c r="U26" i="13"/>
  <c r="G18" i="13"/>
  <c r="S18" i="13"/>
  <c r="S18" i="7"/>
  <c r="T18" i="7" s="1"/>
  <c r="M18" i="7"/>
  <c r="N18" i="7" s="1"/>
  <c r="M18" i="13"/>
  <c r="G18" i="7"/>
  <c r="M65" i="7"/>
  <c r="N58" i="7"/>
  <c r="N65" i="7" s="1"/>
  <c r="H15" i="7"/>
  <c r="D3" i="8" s="1"/>
  <c r="U15" i="7"/>
  <c r="U15" i="13"/>
  <c r="H15" i="13"/>
  <c r="D4" i="8" s="1"/>
  <c r="U86" i="12"/>
  <c r="C40" i="14" s="1"/>
  <c r="D40" i="14" s="1"/>
  <c r="E40" i="14" s="1"/>
  <c r="L17" i="10"/>
  <c r="E14" i="13"/>
  <c r="M5" i="6"/>
  <c r="E14" i="7"/>
  <c r="K18" i="6"/>
  <c r="N16" i="13"/>
  <c r="G23" i="13"/>
  <c r="S23" i="13"/>
  <c r="S23" i="7"/>
  <c r="T23" i="7" s="1"/>
  <c r="M23" i="7"/>
  <c r="N23" i="7" s="1"/>
  <c r="M23" i="13"/>
  <c r="G23" i="7"/>
  <c r="T17" i="13"/>
  <c r="T19" i="13"/>
  <c r="H26" i="7"/>
  <c r="N3" i="8" s="1"/>
  <c r="U26" i="7"/>
  <c r="N26" i="13"/>
  <c r="F14" i="13"/>
  <c r="F14" i="7"/>
  <c r="L18" i="6"/>
  <c r="N15" i="13"/>
  <c r="H87" i="12"/>
  <c r="T21" i="13"/>
  <c r="K17" i="10"/>
  <c r="F90" i="7"/>
  <c r="G65" i="12"/>
  <c r="G88" i="12" s="1"/>
  <c r="G91" i="12" s="1"/>
  <c r="U58" i="12"/>
  <c r="C32" i="14" s="1"/>
  <c r="H58" i="12"/>
  <c r="H65" i="13"/>
  <c r="H19" i="7"/>
  <c r="H3" i="8" s="1"/>
  <c r="U19" i="7"/>
  <c r="H19" i="13"/>
  <c r="H4" i="8" s="1"/>
  <c r="U19" i="13"/>
  <c r="T26" i="13"/>
  <c r="N21" i="13"/>
  <c r="U61" i="7"/>
  <c r="U86" i="7"/>
  <c r="H86" i="7"/>
  <c r="H87" i="7" s="1"/>
  <c r="N87" i="7"/>
  <c r="H63" i="12"/>
  <c r="U63" i="12"/>
  <c r="C54" i="14" s="1"/>
  <c r="U59" i="12"/>
  <c r="C50" i="14" s="1"/>
  <c r="H59" i="12"/>
  <c r="M65" i="12"/>
  <c r="N58" i="12"/>
  <c r="N65" i="12" s="1"/>
  <c r="U17" i="13"/>
  <c r="H17" i="13"/>
  <c r="F4" i="8" s="1"/>
  <c r="F5" i="8" s="1"/>
  <c r="T52" i="12"/>
  <c r="U52" i="12"/>
  <c r="C38" i="14" s="1"/>
  <c r="U64" i="7"/>
  <c r="V22" i="13"/>
  <c r="T15" i="13"/>
  <c r="N13" i="10"/>
  <c r="Q13" i="10"/>
  <c r="U21" i="7"/>
  <c r="H21" i="7"/>
  <c r="J3" i="8" s="1"/>
  <c r="H21" i="13"/>
  <c r="J4" i="8" s="1"/>
  <c r="U21" i="13"/>
  <c r="M87" i="7"/>
  <c r="M90" i="7" s="1"/>
  <c r="H16" i="7"/>
  <c r="E3" i="8" s="1"/>
  <c r="U16" i="7"/>
  <c r="H16" i="13"/>
  <c r="E4" i="8" s="1"/>
  <c r="U16" i="13"/>
  <c r="G90" i="13" l="1"/>
  <c r="F90" i="13" s="1"/>
  <c r="L28" i="14"/>
  <c r="L24" i="14" s="1"/>
  <c r="K78" i="14"/>
  <c r="K79" i="14" s="1"/>
  <c r="J27" i="14"/>
  <c r="W63" i="13"/>
  <c r="H5" i="8"/>
  <c r="H22" i="13"/>
  <c r="K4" i="8" s="1"/>
  <c r="U22" i="13"/>
  <c r="H22" i="7"/>
  <c r="K3" i="8" s="1"/>
  <c r="U22" i="7"/>
  <c r="J5" i="8"/>
  <c r="F90" i="12"/>
  <c r="F58" i="12" s="1"/>
  <c r="H22" i="14"/>
  <c r="J20" i="14"/>
  <c r="I21" i="14"/>
  <c r="E5" i="8"/>
  <c r="D5" i="8"/>
  <c r="N5" i="8"/>
  <c r="L60" i="14"/>
  <c r="M60" i="14" s="1"/>
  <c r="N60" i="14" s="1"/>
  <c r="K59" i="14"/>
  <c r="L59" i="14" s="1"/>
  <c r="M59" i="14" s="1"/>
  <c r="N59" i="14" s="1"/>
  <c r="D59" i="14"/>
  <c r="E59" i="14" s="1"/>
  <c r="K24" i="14"/>
  <c r="K45" i="14"/>
  <c r="C31" i="14"/>
  <c r="K40" i="14"/>
  <c r="L40" i="14" s="1"/>
  <c r="M40" i="14" s="1"/>
  <c r="N40" i="14" s="1"/>
  <c r="U87" i="13"/>
  <c r="U90" i="13" s="1"/>
  <c r="O30" i="14"/>
  <c r="W59" i="13"/>
  <c r="O29" i="14"/>
  <c r="N25" i="14"/>
  <c r="L32" i="14"/>
  <c r="K31" i="14"/>
  <c r="M46" i="14"/>
  <c r="L45" i="14"/>
  <c r="G32" i="14"/>
  <c r="F31" i="14"/>
  <c r="W64" i="13"/>
  <c r="F28" i="14"/>
  <c r="F78" i="14" s="1"/>
  <c r="F79" i="14" s="1"/>
  <c r="W86" i="13"/>
  <c r="F40" i="14"/>
  <c r="G40" i="14" s="1"/>
  <c r="H40" i="14" s="1"/>
  <c r="I40" i="14" s="1"/>
  <c r="J40" i="14" s="1"/>
  <c r="G33" i="14"/>
  <c r="H33" i="14" s="1"/>
  <c r="I33" i="14" s="1"/>
  <c r="J33" i="14" s="1"/>
  <c r="I25" i="14"/>
  <c r="U65" i="7"/>
  <c r="F60" i="14"/>
  <c r="W58" i="13"/>
  <c r="W62" i="13"/>
  <c r="F46" i="14"/>
  <c r="C37" i="14"/>
  <c r="C24" i="14"/>
  <c r="E43" i="14"/>
  <c r="O43" i="14" s="1"/>
  <c r="D38" i="14"/>
  <c r="D50" i="14"/>
  <c r="E50" i="14" s="1"/>
  <c r="D54" i="14"/>
  <c r="E54" i="14" s="1"/>
  <c r="D32" i="14"/>
  <c r="J16" i="14"/>
  <c r="I17" i="14"/>
  <c r="D28" i="14"/>
  <c r="D78" i="14" s="1"/>
  <c r="D79" i="14" s="1"/>
  <c r="D60" i="14"/>
  <c r="E60" i="14" s="1"/>
  <c r="O42" i="14"/>
  <c r="D46" i="14"/>
  <c r="D39" i="14"/>
  <c r="E39" i="14" s="1"/>
  <c r="D53" i="14"/>
  <c r="E53" i="14" s="1"/>
  <c r="U89" i="12"/>
  <c r="U90" i="12"/>
  <c r="U65" i="13"/>
  <c r="L90" i="7"/>
  <c r="U87" i="7"/>
  <c r="U90" i="7" s="1"/>
  <c r="W61" i="13"/>
  <c r="V60" i="13"/>
  <c r="W60" i="13"/>
  <c r="V21" i="13"/>
  <c r="W21" i="13"/>
  <c r="W19" i="13"/>
  <c r="V17" i="13"/>
  <c r="W17" i="13"/>
  <c r="W16" i="13"/>
  <c r="V15" i="13"/>
  <c r="W15" i="13"/>
  <c r="W26" i="13"/>
  <c r="V25" i="13"/>
  <c r="W25" i="13"/>
  <c r="N12" i="14"/>
  <c r="N19" i="14"/>
  <c r="M54" i="12"/>
  <c r="N53" i="12"/>
  <c r="N54" i="12" s="1"/>
  <c r="U65" i="12"/>
  <c r="K14" i="7"/>
  <c r="E13" i="7"/>
  <c r="F35" i="14" s="1"/>
  <c r="V16" i="13"/>
  <c r="L90" i="12"/>
  <c r="M88" i="12"/>
  <c r="M91" i="12" s="1"/>
  <c r="V19" i="13"/>
  <c r="L14" i="13"/>
  <c r="F13" i="13"/>
  <c r="K36" i="14" s="1"/>
  <c r="L36" i="14" s="1"/>
  <c r="M36" i="14" s="1"/>
  <c r="N36" i="14" s="1"/>
  <c r="N23" i="13"/>
  <c r="T23" i="13"/>
  <c r="H18" i="7"/>
  <c r="G3" i="8" s="1"/>
  <c r="U18" i="7"/>
  <c r="V26" i="13"/>
  <c r="V65" i="13"/>
  <c r="V58" i="13"/>
  <c r="U20" i="13"/>
  <c r="H20" i="13"/>
  <c r="I4" i="8" s="1"/>
  <c r="T20" i="13"/>
  <c r="H23" i="7"/>
  <c r="L3" i="8" s="1"/>
  <c r="U23" i="7"/>
  <c r="H23" i="13"/>
  <c r="L4" i="8" s="1"/>
  <c r="U23" i="13"/>
  <c r="G14" i="13"/>
  <c r="S14" i="13"/>
  <c r="M14" i="13"/>
  <c r="M14" i="7"/>
  <c r="S14" i="7"/>
  <c r="M18" i="6"/>
  <c r="G14" i="7"/>
  <c r="N18" i="13"/>
  <c r="H65" i="12"/>
  <c r="L14" i="7"/>
  <c r="F13" i="7"/>
  <c r="F36" i="14" s="1"/>
  <c r="E13" i="13"/>
  <c r="K35" i="14" s="1"/>
  <c r="K14" i="13"/>
  <c r="T18" i="13"/>
  <c r="N20" i="13"/>
  <c r="H18" i="13"/>
  <c r="G4" i="8" s="1"/>
  <c r="U18" i="13"/>
  <c r="N10" i="10"/>
  <c r="N17" i="10" s="1"/>
  <c r="Q10" i="10"/>
  <c r="Q17" i="10" s="1"/>
  <c r="M17" i="10"/>
  <c r="U20" i="7"/>
  <c r="H20" i="7"/>
  <c r="I3" i="8" s="1"/>
  <c r="G5" i="8" l="1"/>
  <c r="M28" i="14"/>
  <c r="L78" i="14"/>
  <c r="L79" i="14" s="1"/>
  <c r="O27" i="14"/>
  <c r="K5" i="8"/>
  <c r="L5" i="8"/>
  <c r="W22" i="13"/>
  <c r="I5" i="8"/>
  <c r="L20" i="14"/>
  <c r="J21" i="14"/>
  <c r="O19" i="14"/>
  <c r="C74" i="14"/>
  <c r="G60" i="14"/>
  <c r="H60" i="14" s="1"/>
  <c r="I60" i="14" s="1"/>
  <c r="J60" i="14" s="1"/>
  <c r="F59" i="14"/>
  <c r="T90" i="13"/>
  <c r="O40" i="14"/>
  <c r="T90" i="12"/>
  <c r="N46" i="14"/>
  <c r="N45" i="14" s="1"/>
  <c r="M45" i="14"/>
  <c r="L35" i="14"/>
  <c r="K34" i="14"/>
  <c r="L34" i="14" s="1"/>
  <c r="M34" i="14" s="1"/>
  <c r="N34" i="14" s="1"/>
  <c r="M32" i="14"/>
  <c r="L31" i="14"/>
  <c r="O33" i="14"/>
  <c r="G28" i="14"/>
  <c r="G78" i="14" s="1"/>
  <c r="G79" i="14" s="1"/>
  <c r="F24" i="14"/>
  <c r="G46" i="14"/>
  <c r="F45" i="14"/>
  <c r="G35" i="14"/>
  <c r="F34" i="14"/>
  <c r="G36" i="14"/>
  <c r="H36" i="14" s="1"/>
  <c r="I36" i="14" s="1"/>
  <c r="J36" i="14" s="1"/>
  <c r="J25" i="14"/>
  <c r="H32" i="14"/>
  <c r="G31" i="14"/>
  <c r="E46" i="14"/>
  <c r="E45" i="14" s="1"/>
  <c r="D45" i="14"/>
  <c r="E38" i="14"/>
  <c r="E37" i="14" s="1"/>
  <c r="D37" i="14"/>
  <c r="E32" i="14"/>
  <c r="E31" i="14" s="1"/>
  <c r="D31" i="14"/>
  <c r="E28" i="14"/>
  <c r="D24" i="14"/>
  <c r="O39" i="14"/>
  <c r="O50" i="14"/>
  <c r="O12" i="14"/>
  <c r="I22" i="14"/>
  <c r="O53" i="14"/>
  <c r="J17" i="14"/>
  <c r="O54" i="14"/>
  <c r="U88" i="12"/>
  <c r="W65" i="13"/>
  <c r="T90" i="7"/>
  <c r="W87" i="13"/>
  <c r="V18" i="13"/>
  <c r="W18" i="13"/>
  <c r="W20" i="13"/>
  <c r="V23" i="13"/>
  <c r="W23" i="13"/>
  <c r="S13" i="13"/>
  <c r="S52" i="13" s="1"/>
  <c r="T14" i="13"/>
  <c r="Q14" i="7"/>
  <c r="Q13" i="7" s="1"/>
  <c r="K13" i="7"/>
  <c r="H14" i="7"/>
  <c r="C3" i="8" s="1"/>
  <c r="G53" i="7"/>
  <c r="G13" i="7"/>
  <c r="U14" i="7"/>
  <c r="S13" i="7"/>
  <c r="T14" i="7"/>
  <c r="G13" i="13"/>
  <c r="H14" i="13"/>
  <c r="C4" i="8" s="1"/>
  <c r="G53" i="13"/>
  <c r="U14" i="13"/>
  <c r="V20" i="13"/>
  <c r="R14" i="7"/>
  <c r="R13" i="7" s="1"/>
  <c r="L13" i="7"/>
  <c r="M13" i="13"/>
  <c r="N14" i="13"/>
  <c r="M13" i="7"/>
  <c r="N14" i="7"/>
  <c r="L13" i="13"/>
  <c r="R14" i="13"/>
  <c r="R13" i="13" s="1"/>
  <c r="Q14" i="13"/>
  <c r="Q13" i="13" s="1"/>
  <c r="K13" i="13"/>
  <c r="J22" i="14" l="1"/>
  <c r="E24" i="14"/>
  <c r="E78" i="14"/>
  <c r="E79" i="14" s="1"/>
  <c r="N28" i="14"/>
  <c r="M78" i="14"/>
  <c r="M79" i="14" s="1"/>
  <c r="M24" i="14"/>
  <c r="O60" i="14"/>
  <c r="M20" i="14"/>
  <c r="L21" i="14"/>
  <c r="C5" i="8"/>
  <c r="AL5" i="8" s="1"/>
  <c r="AL10" i="8"/>
  <c r="AL6" i="8"/>
  <c r="AL19" i="8"/>
  <c r="AL15" i="8"/>
  <c r="AL11" i="8"/>
  <c r="AL20" i="8"/>
  <c r="AL9" i="8"/>
  <c r="AL22" i="8"/>
  <c r="AL18" i="8"/>
  <c r="AL14" i="8"/>
  <c r="AL7" i="8"/>
  <c r="AL8" i="8"/>
  <c r="AL21" i="8"/>
  <c r="AL17" i="8"/>
  <c r="AL13" i="8"/>
  <c r="AL16" i="8"/>
  <c r="AL12" i="8"/>
  <c r="AL1" i="8"/>
  <c r="D74" i="14"/>
  <c r="E74" i="14"/>
  <c r="G59" i="14"/>
  <c r="H59" i="14" s="1"/>
  <c r="I59" i="14" s="1"/>
  <c r="J59" i="14" s="1"/>
  <c r="U91" i="12"/>
  <c r="C73" i="14"/>
  <c r="C76" i="14" s="1"/>
  <c r="M35" i="14"/>
  <c r="N35" i="14" s="1"/>
  <c r="M31" i="14"/>
  <c r="N32" i="14"/>
  <c r="H28" i="14"/>
  <c r="H78" i="14" s="1"/>
  <c r="H79" i="14" s="1"/>
  <c r="G24" i="14"/>
  <c r="H46" i="14"/>
  <c r="G45" i="14"/>
  <c r="O36" i="14"/>
  <c r="G34" i="14"/>
  <c r="H34" i="14" s="1"/>
  <c r="I34" i="14" s="1"/>
  <c r="J34" i="14" s="1"/>
  <c r="O25" i="14"/>
  <c r="I32" i="14"/>
  <c r="H31" i="14"/>
  <c r="H35" i="14"/>
  <c r="L16" i="14"/>
  <c r="K17" i="14"/>
  <c r="K22" i="14" s="1"/>
  <c r="V14" i="13"/>
  <c r="W14" i="13"/>
  <c r="N13" i="7"/>
  <c r="M52" i="7"/>
  <c r="T13" i="7"/>
  <c r="S52" i="7"/>
  <c r="AP1" i="8"/>
  <c r="N13" i="13"/>
  <c r="M52" i="13"/>
  <c r="U13" i="13"/>
  <c r="H13" i="13"/>
  <c r="G88" i="13"/>
  <c r="H53" i="13"/>
  <c r="H54" i="13" s="1"/>
  <c r="G54" i="13"/>
  <c r="U13" i="7"/>
  <c r="H13" i="7"/>
  <c r="T13" i="13"/>
  <c r="H53" i="7"/>
  <c r="H54" i="7" s="1"/>
  <c r="G54" i="7"/>
  <c r="G88" i="7"/>
  <c r="N78" i="14" l="1"/>
  <c r="N79" i="14" s="1"/>
  <c r="N24" i="14"/>
  <c r="N20" i="14"/>
  <c r="M21" i="14"/>
  <c r="AL24" i="8"/>
  <c r="AL4" i="8"/>
  <c r="AL3" i="8" s="1"/>
  <c r="G91" i="13"/>
  <c r="G89" i="13"/>
  <c r="G91" i="7"/>
  <c r="G89" i="7"/>
  <c r="O59" i="14"/>
  <c r="O34" i="14"/>
  <c r="D73" i="14"/>
  <c r="N31" i="14"/>
  <c r="J32" i="14"/>
  <c r="I31" i="14"/>
  <c r="I46" i="14"/>
  <c r="H45" i="14"/>
  <c r="I35" i="14"/>
  <c r="I28" i="14"/>
  <c r="I78" i="14" s="1"/>
  <c r="I79" i="14" s="1"/>
  <c r="H24" i="14"/>
  <c r="M16" i="14"/>
  <c r="L17" i="14"/>
  <c r="L22" i="14" s="1"/>
  <c r="W13" i="13"/>
  <c r="T52" i="13"/>
  <c r="S53" i="13"/>
  <c r="V13" i="13"/>
  <c r="N52" i="13"/>
  <c r="U52" i="13"/>
  <c r="K38" i="14" s="1"/>
  <c r="M53" i="13"/>
  <c r="A1" i="8"/>
  <c r="T52" i="7"/>
  <c r="S53" i="7"/>
  <c r="N52" i="7"/>
  <c r="U52" i="7"/>
  <c r="F38" i="14" s="1"/>
  <c r="M53" i="7"/>
  <c r="N21" i="14" l="1"/>
  <c r="O20" i="14"/>
  <c r="O21" i="14" s="1"/>
  <c r="AM13" i="8"/>
  <c r="AN13" i="8" s="1"/>
  <c r="AO13" i="8" s="1"/>
  <c r="AM18" i="8"/>
  <c r="AN18" i="8" s="1"/>
  <c r="AO18" i="8" s="1"/>
  <c r="AM9" i="8"/>
  <c r="AN9" i="8" s="1"/>
  <c r="AO9" i="8" s="1"/>
  <c r="AP9" i="8" s="1"/>
  <c r="G8" i="3" s="1"/>
  <c r="AM14" i="8"/>
  <c r="AN14" i="8" s="1"/>
  <c r="AO14" i="8" s="1"/>
  <c r="AM11" i="8"/>
  <c r="AN11" i="8" s="1"/>
  <c r="AO11" i="8" s="1"/>
  <c r="AM7" i="8"/>
  <c r="AN7" i="8" s="1"/>
  <c r="AO7" i="8" s="1"/>
  <c r="AM21" i="8"/>
  <c r="AN21" i="8" s="1"/>
  <c r="AO21" i="8" s="1"/>
  <c r="AM6" i="8"/>
  <c r="AN6" i="8" s="1"/>
  <c r="AO6" i="8" s="1"/>
  <c r="AM16" i="8"/>
  <c r="AN16" i="8" s="1"/>
  <c r="AO16" i="8" s="1"/>
  <c r="AM17" i="8"/>
  <c r="AN17" i="8" s="1"/>
  <c r="AO17" i="8" s="1"/>
  <c r="AM10" i="8"/>
  <c r="AN10" i="8" s="1"/>
  <c r="AO10" i="8" s="1"/>
  <c r="AM12" i="8"/>
  <c r="AN12" i="8" s="1"/>
  <c r="AO12" i="8" s="1"/>
  <c r="AM22" i="8"/>
  <c r="AN22" i="8" s="1"/>
  <c r="AO22" i="8" s="1"/>
  <c r="AM19" i="8"/>
  <c r="AN19" i="8" s="1"/>
  <c r="AO19" i="8" s="1"/>
  <c r="AM8" i="8"/>
  <c r="AN8" i="8" s="1"/>
  <c r="AO8" i="8" s="1"/>
  <c r="AM20" i="8"/>
  <c r="AN20" i="8" s="1"/>
  <c r="AO20" i="8" s="1"/>
  <c r="AP20" i="8" s="1"/>
  <c r="AM15" i="8"/>
  <c r="AN15" i="8" s="1"/>
  <c r="AO15" i="8" s="1"/>
  <c r="E73" i="14"/>
  <c r="D76" i="14"/>
  <c r="D75" i="14"/>
  <c r="L38" i="14"/>
  <c r="K37" i="14"/>
  <c r="K74" i="14" s="1"/>
  <c r="J31" i="14"/>
  <c r="O32" i="14"/>
  <c r="O31" i="14" s="1"/>
  <c r="J46" i="14"/>
  <c r="J45" i="14" s="1"/>
  <c r="I45" i="14"/>
  <c r="J35" i="14"/>
  <c r="O35" i="14" s="1"/>
  <c r="J28" i="14"/>
  <c r="I24" i="14"/>
  <c r="G38" i="14"/>
  <c r="F37" i="14"/>
  <c r="F74" i="14" s="1"/>
  <c r="N16" i="14"/>
  <c r="M17" i="14"/>
  <c r="M22" i="14" s="1"/>
  <c r="W52" i="13"/>
  <c r="M54" i="13"/>
  <c r="N53" i="13"/>
  <c r="N54" i="13" s="1"/>
  <c r="M88" i="13"/>
  <c r="U53" i="13"/>
  <c r="U54" i="13" s="1"/>
  <c r="M88" i="7"/>
  <c r="M54" i="7"/>
  <c r="N53" i="7"/>
  <c r="N54" i="7" s="1"/>
  <c r="U53" i="7"/>
  <c r="S88" i="13"/>
  <c r="T53" i="13"/>
  <c r="T54" i="13" s="1"/>
  <c r="S54" i="13"/>
  <c r="T53" i="7"/>
  <c r="T54" i="7" s="1"/>
  <c r="S88" i="7"/>
  <c r="S54" i="7"/>
  <c r="J24" i="14" l="1"/>
  <c r="J78" i="14"/>
  <c r="J79" i="14" s="1"/>
  <c r="D10" i="9"/>
  <c r="F10" i="9" s="1"/>
  <c r="AT11" i="8" s="1"/>
  <c r="AP11" i="8"/>
  <c r="G22" i="3"/>
  <c r="D15" i="9"/>
  <c r="F15" i="9" s="1"/>
  <c r="AT16" i="8" s="1"/>
  <c r="AP16" i="8"/>
  <c r="D14" i="9"/>
  <c r="F14" i="9" s="1"/>
  <c r="AT15" i="8" s="1"/>
  <c r="AP15" i="8"/>
  <c r="D21" i="9"/>
  <c r="F21" i="9" s="1"/>
  <c r="AT22" i="8" s="1"/>
  <c r="AP22" i="8"/>
  <c r="D18" i="9"/>
  <c r="F18" i="9" s="1"/>
  <c r="AT19" i="8" s="1"/>
  <c r="AP19" i="8"/>
  <c r="D12" i="9"/>
  <c r="F12" i="9" s="1"/>
  <c r="AT13" i="8" s="1"/>
  <c r="AP13" i="8"/>
  <c r="D5" i="9"/>
  <c r="F5" i="9" s="1"/>
  <c r="AP6" i="8"/>
  <c r="D20" i="9"/>
  <c r="F20" i="9" s="1"/>
  <c r="AT21" i="8" s="1"/>
  <c r="AP21" i="8"/>
  <c r="D16" i="9"/>
  <c r="F16" i="9" s="1"/>
  <c r="AT17" i="8" s="1"/>
  <c r="AP17" i="8"/>
  <c r="D7" i="9"/>
  <c r="F7" i="9" s="1"/>
  <c r="AT8" i="8" s="1"/>
  <c r="AP8" i="8"/>
  <c r="D9" i="9"/>
  <c r="F9" i="9" s="1"/>
  <c r="AT10" i="8" s="1"/>
  <c r="AP10" i="8"/>
  <c r="D13" i="9"/>
  <c r="F13" i="9" s="1"/>
  <c r="AT14" i="8" s="1"/>
  <c r="AP14" i="8"/>
  <c r="D17" i="9"/>
  <c r="F17" i="9" s="1"/>
  <c r="AT18" i="8" s="1"/>
  <c r="AP18" i="8"/>
  <c r="D6" i="9"/>
  <c r="F6" i="9" s="1"/>
  <c r="AT7" i="8" s="1"/>
  <c r="AP7" i="8"/>
  <c r="D11" i="9"/>
  <c r="F11" i="9" s="1"/>
  <c r="AT12" i="8" s="1"/>
  <c r="AP12" i="8"/>
  <c r="S91" i="7"/>
  <c r="S89" i="7"/>
  <c r="S91" i="13"/>
  <c r="S89" i="13"/>
  <c r="AM24" i="8"/>
  <c r="M91" i="13"/>
  <c r="M89" i="13"/>
  <c r="M91" i="7"/>
  <c r="M89" i="7"/>
  <c r="E75" i="14"/>
  <c r="E76" i="14"/>
  <c r="M38" i="14"/>
  <c r="L37" i="14"/>
  <c r="L74" i="14" s="1"/>
  <c r="O28" i="14"/>
  <c r="H38" i="14"/>
  <c r="G37" i="14"/>
  <c r="G74" i="14" s="1"/>
  <c r="O46" i="14"/>
  <c r="O45" i="14" s="1"/>
  <c r="N17" i="14"/>
  <c r="N22" i="14" s="1"/>
  <c r="O16" i="14"/>
  <c r="O17" i="14" s="1"/>
  <c r="W53" i="13"/>
  <c r="V53" i="13"/>
  <c r="V88" i="13"/>
  <c r="U88" i="13"/>
  <c r="U54" i="7"/>
  <c r="U88" i="7"/>
  <c r="O24" i="14" l="1"/>
  <c r="O78" i="14"/>
  <c r="H6" i="9"/>
  <c r="AU7" i="8" s="1"/>
  <c r="H20" i="9"/>
  <c r="AU21" i="8" s="1"/>
  <c r="H21" i="9"/>
  <c r="AU22" i="8" s="1"/>
  <c r="H15" i="9"/>
  <c r="AU16" i="8" s="1"/>
  <c r="H13" i="9"/>
  <c r="AU14" i="8" s="1"/>
  <c r="H11" i="9"/>
  <c r="AU12" i="8" s="1"/>
  <c r="H16" i="9"/>
  <c r="AU17" i="8" s="1"/>
  <c r="H5" i="9"/>
  <c r="AU6" i="8" s="1"/>
  <c r="AT6" i="8"/>
  <c r="AT24" i="8" s="1"/>
  <c r="H18" i="9"/>
  <c r="AU19" i="8" s="1"/>
  <c r="H14" i="9"/>
  <c r="AU15" i="8" s="1"/>
  <c r="H7" i="9"/>
  <c r="AU8" i="8" s="1"/>
  <c r="H12" i="9"/>
  <c r="AU13" i="8" s="1"/>
  <c r="H17" i="9"/>
  <c r="AU18" i="8" s="1"/>
  <c r="H9" i="9"/>
  <c r="AU10" i="8" s="1"/>
  <c r="H10" i="9"/>
  <c r="AU11" i="8" s="1"/>
  <c r="AP24" i="8"/>
  <c r="G6" i="3"/>
  <c r="G13" i="3"/>
  <c r="G7" i="3"/>
  <c r="G23" i="3"/>
  <c r="G12" i="3"/>
  <c r="G24" i="3"/>
  <c r="G15" i="3"/>
  <c r="G10" i="3"/>
  <c r="G11" i="3"/>
  <c r="G20" i="3"/>
  <c r="G9" i="3"/>
  <c r="G16" i="3"/>
  <c r="AP4" i="8"/>
  <c r="AQ22" i="8" s="1"/>
  <c r="G5" i="3"/>
  <c r="G21" i="3"/>
  <c r="G14" i="3"/>
  <c r="AN24" i="8"/>
  <c r="AO24" i="8"/>
  <c r="D22" i="9" s="1"/>
  <c r="F22" i="9" s="1"/>
  <c r="K73" i="14"/>
  <c r="K75" i="14" s="1"/>
  <c r="U89" i="13"/>
  <c r="N38" i="14"/>
  <c r="N37" i="14" s="1"/>
  <c r="M37" i="14"/>
  <c r="I38" i="14"/>
  <c r="H37" i="14"/>
  <c r="H74" i="14" s="1"/>
  <c r="U91" i="7"/>
  <c r="F73" i="14"/>
  <c r="F76" i="14" s="1"/>
  <c r="O22" i="14"/>
  <c r="W54" i="13"/>
  <c r="U91" i="13"/>
  <c r="W88" i="13"/>
  <c r="AU24" i="8" l="1"/>
  <c r="H22" i="9"/>
  <c r="AQ18" i="8"/>
  <c r="AQ14" i="8"/>
  <c r="AQ19" i="8"/>
  <c r="AQ11" i="8"/>
  <c r="AS11" i="8" s="1"/>
  <c r="AQ15" i="8"/>
  <c r="AQ6" i="8"/>
  <c r="AQ17" i="8"/>
  <c r="AQ21" i="8"/>
  <c r="AS15" i="8"/>
  <c r="H14" i="3"/>
  <c r="AS17" i="8"/>
  <c r="H16" i="3"/>
  <c r="H10" i="3"/>
  <c r="H13" i="3"/>
  <c r="AS14" i="8"/>
  <c r="G27" i="3"/>
  <c r="H20" i="3"/>
  <c r="AS18" i="8"/>
  <c r="AS22" i="8"/>
  <c r="H24" i="3"/>
  <c r="AS21" i="8"/>
  <c r="H23" i="3"/>
  <c r="AS19" i="8"/>
  <c r="H21" i="3"/>
  <c r="AP3" i="8"/>
  <c r="AQ9" i="8"/>
  <c r="AQ20" i="8"/>
  <c r="AQ10" i="8"/>
  <c r="AQ12" i="8"/>
  <c r="AQ16" i="8"/>
  <c r="AQ13" i="8"/>
  <c r="AQ8" i="8"/>
  <c r="AQ7" i="8"/>
  <c r="L73" i="14"/>
  <c r="K76" i="14"/>
  <c r="M74" i="14"/>
  <c r="N74" i="14"/>
  <c r="G73" i="14"/>
  <c r="G76" i="14" s="1"/>
  <c r="F75" i="14"/>
  <c r="J38" i="14"/>
  <c r="I37" i="14"/>
  <c r="I74" i="14" s="1"/>
  <c r="AS16" i="8" l="1"/>
  <c r="H15" i="3"/>
  <c r="E10" i="9"/>
  <c r="G10" i="9" s="1"/>
  <c r="I10" i="9" s="1"/>
  <c r="I10" i="3"/>
  <c r="H11" i="3"/>
  <c r="AS12" i="8"/>
  <c r="E20" i="9"/>
  <c r="G20" i="9" s="1"/>
  <c r="I20" i="9" s="1"/>
  <c r="I23" i="3"/>
  <c r="H7" i="3"/>
  <c r="AS8" i="8"/>
  <c r="H9" i="3"/>
  <c r="AS10" i="8"/>
  <c r="H5" i="3"/>
  <c r="AR24" i="8"/>
  <c r="AS6" i="8"/>
  <c r="E16" i="9"/>
  <c r="G16" i="9" s="1"/>
  <c r="I16" i="9" s="1"/>
  <c r="I16" i="3"/>
  <c r="H8" i="3"/>
  <c r="AS9" i="8"/>
  <c r="I8" i="3" s="1"/>
  <c r="I20" i="3"/>
  <c r="E17" i="9"/>
  <c r="G17" i="9" s="1"/>
  <c r="I17" i="9" s="1"/>
  <c r="E14" i="9"/>
  <c r="G14" i="9" s="1"/>
  <c r="I14" i="9" s="1"/>
  <c r="I14" i="3"/>
  <c r="H6" i="3"/>
  <c r="AS7" i="8"/>
  <c r="I13" i="3"/>
  <c r="E13" i="9"/>
  <c r="G13" i="9" s="1"/>
  <c r="I13" i="9" s="1"/>
  <c r="AS13" i="8"/>
  <c r="H12" i="3"/>
  <c r="AS20" i="8"/>
  <c r="I22" i="3" s="1"/>
  <c r="H22" i="3"/>
  <c r="E18" i="9"/>
  <c r="G18" i="9" s="1"/>
  <c r="I18" i="9" s="1"/>
  <c r="I21" i="3"/>
  <c r="I24" i="3"/>
  <c r="E21" i="9"/>
  <c r="G21" i="9" s="1"/>
  <c r="I21" i="9" s="1"/>
  <c r="AQ24" i="8"/>
  <c r="M73" i="14"/>
  <c r="L76" i="14"/>
  <c r="L75" i="14"/>
  <c r="H73" i="14"/>
  <c r="H76" i="14" s="1"/>
  <c r="G75" i="14"/>
  <c r="J37" i="14"/>
  <c r="J74" i="14" s="1"/>
  <c r="O38" i="14"/>
  <c r="O37" i="14" s="1"/>
  <c r="O74" i="14" s="1"/>
  <c r="O21" i="3" l="1"/>
  <c r="J21" i="3"/>
  <c r="L21" i="3"/>
  <c r="N21" i="3"/>
  <c r="M21" i="3"/>
  <c r="K21" i="3"/>
  <c r="I6" i="3"/>
  <c r="E6" i="9"/>
  <c r="G6" i="9" s="1"/>
  <c r="I6" i="9" s="1"/>
  <c r="K16" i="3"/>
  <c r="O16" i="3"/>
  <c r="M16" i="3"/>
  <c r="J16" i="3"/>
  <c r="L16" i="3"/>
  <c r="N16" i="3"/>
  <c r="I12" i="3"/>
  <c r="E12" i="9"/>
  <c r="G12" i="9" s="1"/>
  <c r="I12" i="9" s="1"/>
  <c r="K20" i="3"/>
  <c r="O20" i="3"/>
  <c r="M20" i="3"/>
  <c r="N20" i="3"/>
  <c r="L20" i="3"/>
  <c r="J20" i="3"/>
  <c r="E9" i="9"/>
  <c r="G9" i="9" s="1"/>
  <c r="I9" i="9" s="1"/>
  <c r="I9" i="3"/>
  <c r="O23" i="3"/>
  <c r="M23" i="3"/>
  <c r="J23" i="3"/>
  <c r="K23" i="3"/>
  <c r="N23" i="3"/>
  <c r="L23" i="3"/>
  <c r="K10" i="3"/>
  <c r="N10" i="3"/>
  <c r="M10" i="3"/>
  <c r="O10" i="3"/>
  <c r="L10" i="3"/>
  <c r="J10" i="3"/>
  <c r="O14" i="3"/>
  <c r="K14" i="3"/>
  <c r="J14" i="3"/>
  <c r="M14" i="3"/>
  <c r="L14" i="3"/>
  <c r="N14" i="3"/>
  <c r="K8" i="3"/>
  <c r="O8" i="3"/>
  <c r="L8" i="3"/>
  <c r="J8" i="3"/>
  <c r="I5" i="3"/>
  <c r="AS24" i="8"/>
  <c r="E22" i="9" s="1"/>
  <c r="G22" i="9" s="1"/>
  <c r="I22" i="9" s="1"/>
  <c r="E5" i="9"/>
  <c r="G5" i="9" s="1"/>
  <c r="I5" i="9" s="1"/>
  <c r="O24" i="3"/>
  <c r="M24" i="3"/>
  <c r="L24" i="3"/>
  <c r="N24" i="3"/>
  <c r="J24" i="3"/>
  <c r="K24" i="3"/>
  <c r="J22" i="3"/>
  <c r="K22" i="3"/>
  <c r="L22" i="3"/>
  <c r="J13" i="3"/>
  <c r="K13" i="3"/>
  <c r="M13" i="3"/>
  <c r="O13" i="3"/>
  <c r="L13" i="3"/>
  <c r="N13" i="3"/>
  <c r="E7" i="9"/>
  <c r="G7" i="9" s="1"/>
  <c r="I7" i="9" s="1"/>
  <c r="I7" i="3"/>
  <c r="I11" i="3"/>
  <c r="E11" i="9"/>
  <c r="G11" i="9" s="1"/>
  <c r="I11" i="9" s="1"/>
  <c r="H27" i="3"/>
  <c r="E15" i="9"/>
  <c r="G15" i="9" s="1"/>
  <c r="I15" i="9" s="1"/>
  <c r="I15" i="3"/>
  <c r="N73" i="14"/>
  <c r="M76" i="14"/>
  <c r="M75" i="14"/>
  <c r="I73" i="14"/>
  <c r="I76" i="14" s="1"/>
  <c r="H75" i="14"/>
  <c r="N6" i="3" l="1"/>
  <c r="K6" i="3"/>
  <c r="J6" i="3"/>
  <c r="L6" i="3"/>
  <c r="O6" i="3"/>
  <c r="M6" i="3"/>
  <c r="M9" i="3"/>
  <c r="K9" i="3"/>
  <c r="J9" i="3"/>
  <c r="O9" i="3"/>
  <c r="L9" i="3"/>
  <c r="N9" i="3"/>
  <c r="O15" i="3"/>
  <c r="M15" i="3"/>
  <c r="K15" i="3"/>
  <c r="L15" i="3"/>
  <c r="N15" i="3"/>
  <c r="J15" i="3"/>
  <c r="L11" i="3"/>
  <c r="N11" i="3"/>
  <c r="M11" i="3"/>
  <c r="J11" i="3"/>
  <c r="K11" i="3"/>
  <c r="O11" i="3"/>
  <c r="M5" i="3"/>
  <c r="I27" i="3"/>
  <c r="O5" i="3"/>
  <c r="J5" i="3"/>
  <c r="L5" i="3"/>
  <c r="N5" i="3"/>
  <c r="I4" i="3"/>
  <c r="K5" i="3"/>
  <c r="M12" i="3"/>
  <c r="J12" i="3"/>
  <c r="O12" i="3"/>
  <c r="L12" i="3"/>
  <c r="N12" i="3"/>
  <c r="K12" i="3"/>
  <c r="L7" i="3"/>
  <c r="M7" i="3"/>
  <c r="N7" i="3"/>
  <c r="J7" i="3"/>
  <c r="K7" i="3"/>
  <c r="O7" i="3"/>
  <c r="N76" i="14"/>
  <c r="N75" i="14"/>
  <c r="J73" i="14"/>
  <c r="I75" i="14"/>
  <c r="K4" i="3" l="1"/>
  <c r="O4" i="3"/>
  <c r="J4" i="3"/>
  <c r="M4" i="3"/>
  <c r="N4" i="3"/>
  <c r="L4" i="3"/>
  <c r="K27" i="3"/>
  <c r="N27" i="3"/>
  <c r="M27" i="3"/>
  <c r="O27" i="3"/>
  <c r="J27" i="3"/>
  <c r="L27" i="3"/>
  <c r="J75" i="14"/>
  <c r="J76" i="14"/>
  <c r="O73" i="14"/>
  <c r="O75" i="14" l="1"/>
  <c r="O76" i="14"/>
</calcChain>
</file>

<file path=xl/sharedStrings.xml><?xml version="1.0" encoding="utf-8"?>
<sst xmlns="http://schemas.openxmlformats.org/spreadsheetml/2006/main" count="949" uniqueCount="476">
  <si>
    <t xml:space="preserve"> вул. Печерська (с.Чайка), б. 2 </t>
  </si>
  <si>
    <t>Одиниця</t>
  </si>
  <si>
    <t xml:space="preserve"> грн/м2 </t>
  </si>
  <si>
    <t>Назва</t>
  </si>
  <si>
    <t xml:space="preserve"> вул. Печерська (с.Чайка), б. 6 </t>
  </si>
  <si>
    <t xml:space="preserve"> ДОШКА ОГОЛОШЕНЬ ОСББ "БРЕСТ-ЛИТОВСЬКЕ"</t>
  </si>
  <si>
    <t>Розрахунок ГІОЦ</t>
  </si>
  <si>
    <t>Прибирання сходових клітин</t>
  </si>
  <si>
    <t>Прибирання прибудинкової території</t>
  </si>
  <si>
    <t>Вивезення та утилізація побутових і негабаритних відходів</t>
  </si>
  <si>
    <t>Прибирання підвалів, технічних поверхів та покрівлі</t>
  </si>
  <si>
    <t>Технічне обслуговування ліфтів</t>
  </si>
  <si>
    <t>Обслуговування внутрішньобудинкових систем тепло-, водопостачання, водовідведення і каналізації</t>
  </si>
  <si>
    <t>Дератизація</t>
  </si>
  <si>
    <t>Дезінсекція</t>
  </si>
  <si>
    <t xml:space="preserve">Обслуговування димовентиляційних каналів </t>
  </si>
  <si>
    <t>Обслуговування систем протипожежної автоматики та димовидалення</t>
  </si>
  <si>
    <t>Обслуговування систем диспетчеризації</t>
  </si>
  <si>
    <t>Технічно обслуговування електроплит</t>
  </si>
  <si>
    <t>Поточний ремонт</t>
  </si>
  <si>
    <t>Ремонт обладнання спортивних майданчиків</t>
  </si>
  <si>
    <t>Ремонт обладнання дитячих майданчиків</t>
  </si>
  <si>
    <t>Поливання дворів, клумб та газонів</t>
  </si>
  <si>
    <t>Підготовка житлових будинків до експлуатації в осінньо-зимовий період</t>
  </si>
  <si>
    <t xml:space="preserve">Освітлення місць загального користування, підвалів та підкачування води </t>
  </si>
  <si>
    <t>Прибирання та вивезення снігу</t>
  </si>
  <si>
    <t>Електроенергія для ліфтів</t>
  </si>
  <si>
    <t>Інші витрати</t>
  </si>
  <si>
    <t>Вивезення побутових відходів (збирання, зберігання, перевезення, перероблення, утилізація, знешкодження та захоронення)</t>
  </si>
  <si>
    <t>Прибирання підвалу, технічних поверхів та покрівлі</t>
  </si>
  <si>
    <t>Технічне обслуговування внутрішньобудинкових систем: гарячого водопостачання; холодного водопостачання; водовідведення; теплопостачання; зливової каналізації</t>
  </si>
  <si>
    <t>Обслуговування димовентиляційних каналів</t>
  </si>
  <si>
    <t>Поточний ремонт конструктивних елементів, внутрішньобудинкових систем гарячого і холодного водопостачання, водовідведення, теплопостачання та зливової каналізації і технічних пристроїв будинків та елементів зовнішнього упорядження, що розміщені на закріпленій в установленому порядку прибудинковій території (в тому числі спортивних, дитячих та інших майданчиків)</t>
  </si>
  <si>
    <t>Поливання дворів, клумб і газонів</t>
  </si>
  <si>
    <t>Прибирання і вивезення снігу, посипання частини прибудинкової території, призначеної для проходу та проїзду, протиожеледними сумішами</t>
  </si>
  <si>
    <t>Технічне обслуговування та поточний ремонт систем протипожежної автоматики та димовидалення, а також інших внутрішньобудинкових інженерних систем у разі їх наявності</t>
  </si>
  <si>
    <t>Експлуатація номерних знаків на будинках</t>
  </si>
  <si>
    <t>Освітлення місць загального користування і підвалів та підкачування води</t>
  </si>
  <si>
    <t>Енергопостачання ліфтів</t>
  </si>
  <si>
    <t xml:space="preserve">Періодична повірка, обслуговування і ремонт квартирних засобів обліку води та теплової енергії, у тому числі їх демонтаж, транспортування та монтаж після повірки.
</t>
  </si>
  <si>
    <t>7. Витрати з прибирання прибудинкової території (В пт) визначаються за формулою</t>
  </si>
  <si>
    <t>В пт = (О з + В ф + Н + М + І) : П з ,</t>
  </si>
  <si>
    <t>8. Витрати з прибирання сходових кліток (В с ) визначаються за с формулою</t>
  </si>
  <si>
    <t>В с = (О з + В ф + Н + М + І) : П зжн ,</t>
  </si>
  <si>
    <t>9. Витрати з вивезення побутових відходів (збирання, зберігання, перевезення, перероблення, утилізація, знешкодження та захоронення), нараховані для фізичних осіб, реєстрація місця проживання яких здійснена за адресою житлового будинку (гуртожитку), (В фо) визначаються за формулою</t>
  </si>
  <si>
    <t>В фо = (В тв + В вв + В рв + В рі ) : П зж ,</t>
  </si>
  <si>
    <t>В тв = К фо х Н тв х Т тв ,</t>
  </si>
  <si>
    <t>В вв = К фо х Н вв х Т вв ,</t>
  </si>
  <si>
    <t>В рв = К фо х Н рв х Т рв ,</t>
  </si>
  <si>
    <t>В рі = К фо х Н рі х Т рі ,</t>
  </si>
  <si>
    <t>Витрати з вивезення побутових відходів, що утворилися в результаті діяльності підприємств, установ та організацій, які розташовані в нежитлових приміщеннях житлового будинку (гуртожитку), (Впо) не включаються у розрахунок нормативних витрат, пов'язаних з утриманням будинків і споруд та прибудинкових територій для власників квартир (житлових приміщень у гуртожитку), і визначаються окремо для кожного підприємства, установи та організації залежно від виду діяльності за формулою</t>
  </si>
  <si>
    <t>В по = Н по х К ор х Т по : П зн ,</t>
  </si>
  <si>
    <t>У разі коли виконавець власними силами проводить деякі операції поводження з побутовими відходами (збирання, зберігання, перевезення, перероблення, утилізація, знешкодження та захоронення), їх вартість розраховується виходячи з планованої собівартості відповідно до Порядку формування тарифів на послуги з вивезення побутових відходів, затвердженого постановою Кабінету Міністрів України від 26 липня 2006 р. № 1010 (Офіційний вісник України, 2006 р., № 30, ст. 2137).</t>
  </si>
  <si>
    <t>Послуга з вивезення побутових відходів може бути визначена згідно з рішенням органу місцевого самоврядування як окрема комунальна послуга. У такому разі тариф на послуги визначається без урахування витрат з вивезення побутових відходів.</t>
  </si>
  <si>
    <t>10. Витрати з прибирання підвалу, технічних поверхів та покрівлі (Вт) визначаються за формулою, наведеною в пункті 7 цього Порядку.</t>
  </si>
  <si>
    <t>11. Витрати з технічного обслуговування ліфтів (Влз) визначаються за формулою</t>
  </si>
  <si>
    <t>В лз = В л х К л : П зл ,</t>
  </si>
  <si>
    <t>12. Витрати з обслуговування систем диспетчеризації (підтримання в робочому стані систем у ліфті, на вході до ліфта та на робочому місці диспетчера) (Всд) визначаються за формулою:</t>
  </si>
  <si>
    <t>В сд = (О з + В ф + Н зн + М + І) : П.</t>
  </si>
  <si>
    <t>13. Витрати з технічного обслуговування внутрішньобудинкових систем гарячого і холодного водопостачання, водовідведення, централізованого опалення і зливової каналізації та з ліквідації аварій у внутрішньоквартирних мережах визначаються за кожною інженерною системою окремо.</t>
  </si>
  <si>
    <t>У разі виконання робіт з технічного обслуговування внутрішньобудинкових систем субпідрядним способом витрати визначаються згідно з договорами, укладеними між виконавцем та субпідрядниками.</t>
  </si>
  <si>
    <t>Внутрішньобудинковою системою гарячого, холодного водопостачання та централізованого опалення є система від зовнішньої стіни будинку (крім транзитних трубопроводів) до першої запірної арматури на відгалуженні від стояка або (у разі її відсутності) трійника (врізки) включно, що знаходиться у квартирі споживача (житлового приміщення у гуртожитку), нежитлового приміщення у житловому будинку (гуртожитку).</t>
  </si>
  <si>
    <t>Внутрішньобудинковою системою водовідведення є система від місця скидання стоків у перший колодязь на випуску з будинку (колодязь не належить до внутрішньобудинкової системи) до трійника включно на відгалуженні від стояка, що знаходиться у квартирі споживача (житлового приміщення у гуртожитку), нежитлового приміщення у житловому будинку (гуртожитку).</t>
  </si>
  <si>
    <t>Загальна вартість технічного обслуговування внутрішньобудинкових інженерних систем визначається як сума вартості технічного обслуговування наявних у житловому будинку (гуртожитку) внутрішньобудинкових систем.</t>
  </si>
  <si>
    <t>Вартість обслуговування обладнання для підкачування води відшкодовує суб'єкт господарювання, у власності або на балансі чи в користуванні якого перебуває таке обладнання.</t>
  </si>
  <si>
    <t>Витрати з промивання внутрішньобудинкових систем централізованого опалення та вартість виконання робіт з гідравлічного випробування внутрішньобудинкових систем централізованого опалення з урахуванням вартості води враховується під час визначення витрат з технічного обслуговування внутрішньобудинкових систем централізованого опалення.</t>
  </si>
  <si>
    <t>У разі відхилення водно-хімічних параметрів теплоносія від нормативних витрати з промивання систем централізованого опалення (крім відкритих систем теплопостачання) відшкодовує виробник теплової енергії.</t>
  </si>
  <si>
    <t>Примірний перелік робіт з технічного обслуговування визначається Мінрегіоном.</t>
  </si>
  <si>
    <t>14. Витрати з дератизації (Вдр) визначаються за формулою</t>
  </si>
  <si>
    <t>В др = (П п х Т др ) : П з + (К с х Т к ) : П з ,</t>
  </si>
  <si>
    <t>Середньомісячний тариф на проведення дератизаційних робіт визначається за калькуляцією відповідної санітарно-епідеміологічної служби.</t>
  </si>
  <si>
    <t>15. Витрати з дезінсекції (Вді) визначаються за формулою</t>
  </si>
  <si>
    <t>В ді = Т ді х П п : П з ,</t>
  </si>
  <si>
    <t>16. Витрати з обслуговування димовентиляційних каналів (Вдк) визначаються за формулою</t>
  </si>
  <si>
    <t>В дк = (О з + В ф + Н + М + І) х Д ф : (П з х Д к ),</t>
  </si>
  <si>
    <t>17. Вартість робіт з технічного обслуговування та поточного ремонту систем протипожежної автоматики та димовидалення, а також за наявності інших внутрішньобудинкових інженерних систем, не зазначених у пунктах 13 і 18 цього Порядку, у разі виконання таких робіт виконавцем визначається за формулою, наведеною в пункті 7 цього Порядку.</t>
  </si>
  <si>
    <t>У разі виконання зазначених робіт субпідрядниками їх вартість визначається відповідно до договорів, укладених на поточний рік.</t>
  </si>
  <si>
    <t>18. Витрати з проведення поточного ремонту конструктивних елементів, внутрішньобудинкових систем гарячого і холодного водопостачання, водовідведення, централізованого опалення та зливової каналізації і технічних пристроїв будинків та елементів зовнішнього упорядження, розташованих на закріпленій в установленому порядку прибудинковій території (зокрема, спортивних, дитячих та інших майданчиків), визначаються з урахуванням кошторисної вартості кожного виду робіт відповідно до державних будівельних норм та правил. Примірний перелік робіт з поточного ремонту визначається центральним органом виконавчої влади з питань житлово-комунального господарства.</t>
  </si>
  <si>
    <t>19. Витрати з поливання дворів, клумб і газонів (Впд) визначаються за формулою</t>
  </si>
  <si>
    <t>В пд = (П г х Н г х Д г + П д х Н д х Д д ) х Т в : П з ,</t>
  </si>
  <si>
    <t>20. Витрати з прибирання і вивезення снігу, посипання призначеної для проходу та проїзду частини прибудинкової території протиожеледними сумішами визначаються на підставі даних калькуляції, складеної з урахуванням індивідуальних норм прибирання і вивезення снігу та посипання протиожеледними сумішами, що затверджені органом місцевого самоврядування, залежно від площі території, з якої вивозиться сніг, відстані до пунктів звалищ, вартості вивезення, а також фактичної площі посипання зазначеної частини прибудинкової території.</t>
  </si>
  <si>
    <t>21. Витрати з експлуатації номерних знаків на будинках (Вез) визначаються за формулою</t>
  </si>
  <si>
    <t>В ез = (В з х С) : (Н е х П з ),</t>
  </si>
  <si>
    <t>22. Витрати з освітлення місць загального користування і підвальних приміщень та підкачування води (Во) визначаються за формулою</t>
  </si>
  <si>
    <t>В о = (О зе + В ф + Н + М + І + Т е х Н е ) : П з ,</t>
  </si>
  <si>
    <t>23. Витрати з енергопостачання для ліфтів (Ве) визначаються за формулою</t>
  </si>
  <si>
    <t>В е = (Н е х Т е х К л ) : П зл ,</t>
  </si>
  <si>
    <t>В пт</t>
  </si>
  <si>
    <t>Витрати з прибирання прибудинкової території</t>
  </si>
  <si>
    <t>О з</t>
  </si>
  <si>
    <t>В ф</t>
  </si>
  <si>
    <t>Н</t>
  </si>
  <si>
    <t>М</t>
  </si>
  <si>
    <t>І</t>
  </si>
  <si>
    <t>П з</t>
  </si>
  <si>
    <t>П зжн</t>
  </si>
  <si>
    <t>В с</t>
  </si>
  <si>
    <t>Витрати з прибирання сходових кліток</t>
  </si>
  <si>
    <t>В фо</t>
  </si>
  <si>
    <t>Витрати з вивезення побутових відходів (збирання, зберігання, перевезення, перероблення, утилізація, знешкодження та захоронення)</t>
  </si>
  <si>
    <t>В тв</t>
  </si>
  <si>
    <t>Витрати з вивезення побутових відходів, що утворилися в результаті діяльності підприємств, установ та організацій, які розташовані в нежитлових приміщеннях житлового будинку (гуртожитку)</t>
  </si>
  <si>
    <t>Витрати з прибирання підвалу, технічних поверхів та покрівлі</t>
  </si>
  <si>
    <t>Витрати з технічного обслуговування ліфтів</t>
  </si>
  <si>
    <t>Витрати з дератизації</t>
  </si>
  <si>
    <t>Витрати з обслуговування систем диспетчеризації (підтримання в робочому стані систем у ліфті, на вході до ліфта та на робочому місці диспетчера)</t>
  </si>
  <si>
    <t>Витрати з дезінсекції</t>
  </si>
  <si>
    <t>Витрати з поливання дворів, клумб і газонів</t>
  </si>
  <si>
    <t>С</t>
  </si>
  <si>
    <t>Витрати з експлуатації номерних знаків на будинках</t>
  </si>
  <si>
    <t>Витрати з освітлення місць загального користування і підвальних приміщень та підкачування води</t>
  </si>
  <si>
    <t>Витрати з енергопостачання для ліфтів</t>
  </si>
  <si>
    <t>Витрати з обслуговування димовентиляційних каналів</t>
  </si>
  <si>
    <t>заробітна плата;</t>
  </si>
  <si>
    <t>відрахування із заробітної плати внесків до Пенсійного фонду України та інших фондів соціального страхування;</t>
  </si>
  <si>
    <t>накладні витрати;</t>
  </si>
  <si>
    <t>матеріальні витрати;</t>
  </si>
  <si>
    <t>обов'язкові платежі до бюджету;</t>
  </si>
  <si>
    <t>сумарна загальна площа (зазначена у технічному паспорті житлового будинку (гуртожитку) квартир (житлових приміщень у гуртожитку) та нежитлових приміщень у житловому будинку (гуртожитку).</t>
  </si>
  <si>
    <t>сумарна загальна площа (зазначена у технічному паспорті житлового будинку (гуртожитку) квартир (житлових приміщень у гуртожитку) та нежитлових приміщень у житловому будинку (гуртожитку), які мають окремі виходи безпосередньо на сходові клітки, що влаштовані з урахуванням вимог державних будівельних норм та зазначені у технічних паспортах на нежитлові приміщення.</t>
  </si>
  <si>
    <t>сумарна загальна площа (зазначена у технічному паспорті житлового будинку (гуртожитку) квартир (житлових приміщень у гуртожитку);</t>
  </si>
  <si>
    <t>вартість вивезення твердих відходів (збирання, зберігання, перевезення, перероблення, утилізація, знешкодження та захоронення), що визначається за формулою</t>
  </si>
  <si>
    <t>кількість фізичних осіб, реєстрація місця проживання яких здійснена за адресою житлового будинку (гуртожитку);</t>
  </si>
  <si>
    <t>норма вивезення твердих відходів у куб. метрах на одну фізичну особу з розрахунку на місяць, що затверджується органом місцевого самоврядування в установленому порядку;</t>
  </si>
  <si>
    <t>тариф на вивезення 1 куб. метра твердих відходів (без урахування податку на додану вартість), встановлений органом місцевого самоврядування;</t>
  </si>
  <si>
    <t>вартість вивезення великогабаритних відходів (збирання, зберігання, перевезення, перероблення, утилізація, знешкодження та захоронення), що визначається за формулою</t>
  </si>
  <si>
    <t>норма вивезення великогабаритних відходів у куб. метрах на одну фізичну особу з розрахунку на місяць, що затверджується органом місцевого самоврядування в установленому порядку;</t>
  </si>
  <si>
    <t>тариф на вивезення 1 куб. метра великогабаритних відходів (без урахування податку на додану вартість), встановлений органом місцевого самоврядування;</t>
  </si>
  <si>
    <t>вартість вивезення ремонтних відходів (збирання, зберігання, перевезення, перероблення, утилізація, знешкодження та захоронення), що визначається за формулою</t>
  </si>
  <si>
    <t>норма вивезення ремонтних відходів у куб. метрах на одну фізичну особу з розрахунку на місяць, що затверджується органом місцевого самоврядування в установленому порядку;</t>
  </si>
  <si>
    <t>тариф на вивезення 1 куб. метра ремонтних відходів (без урахування податку на додану вартість), встановлений органом місцевого самоврядування;</t>
  </si>
  <si>
    <t>вартість вивезення рідких відходів (збирання, зберігання, перевезення, перероблення, утилізація, знешкодження та захоронення), що утворюються в будинку за відсутності централізованого водопостачання та каналізації і зберігаються у вигрібних ямах, визначається за формулою</t>
  </si>
  <si>
    <t>норма вивезення рідких відходів у куб. метрах на одну фізичну особу з розрахунку на місяць, що затверджується органом місцевого самоврядування в установленому порядку;</t>
  </si>
  <si>
    <t>тариф на вивезення 1 куб. метра рідких відходів (без урахування податку на додану вартість), встановлений органом місцевого самоврядування.</t>
  </si>
  <si>
    <t>норма вивезення побутових відходів у куб. метрах на місяць, що затверджується органом місцевого самоврядування, для підприємств, установ та організацій, які розташовані у нежитлових приміщеннях житлового будинку (гуртожитку), на одиницю розрахунку (місце в готелі, робоче або учнівське місце, 1 кв. метр площі тощо);</t>
  </si>
  <si>
    <t>кількість таких одиниць розрахунку;</t>
  </si>
  <si>
    <t>тариф на вивезення 1 куб. метра побутових відходів (без урахування податку на додану вартість), встановлений органом місцевого самоврядування;</t>
  </si>
  <si>
    <t>загальна площа нежитлових приміщень, в яких розташоване підприємство, установа або організація.</t>
  </si>
  <si>
    <t>вартість обслуговування (без електроенергії) одного ліфта з розрахунку на місяць (обчислюється відповідно до Порядку встановлення вартості технічного обслуговування ліфтів та систем диспетчеризації, затвердженого Мінрегіоном);</t>
  </si>
  <si>
    <t>кількість ліфтів у житловому будинку (гуртожитку);</t>
  </si>
  <si>
    <t>сумарна загальна площа квартир (житлових приміщень у гуртожитку), нежитлових приміщень у житловому будинку (гуртожитку) (крім квартир першого поверху та нежитлових приміщень у житловому будинку (гуртожитку), що не мають окремих виходів безпосередньо на сходові клітки).</t>
  </si>
  <si>
    <t>площа підвалу (першого поверху) житлового будинку (гуртожитку);</t>
  </si>
  <si>
    <t>середньомісячний тариф на проведення дератизаційних робіт (на 1 кв. метр площі дератизації);</t>
  </si>
  <si>
    <t>кількість сміттєприймальних камер будинку;</t>
  </si>
  <si>
    <t>середньомісячний тариф на проведення дератизаційних робіт в одній сміттєприймальній камері будинку.</t>
  </si>
  <si>
    <t>вартість проведення робіт з дезінсекції, визначена згідно з калькуляцією відповідної санітарно-епідеміологічної служби (на 1 кв. метр площі).</t>
  </si>
  <si>
    <t>нормативна кількість димовентиляційних каналів;</t>
  </si>
  <si>
    <t>фактична кількість димовентиляційних каналів.</t>
  </si>
  <si>
    <t>площа дворів;</t>
  </si>
  <si>
    <t>площа газонів та (або) клумб;</t>
  </si>
  <si>
    <t>норма витрат води з поливання дворів;</t>
  </si>
  <si>
    <t>норма витрат води з поливання газонів та (або) клумб;</t>
  </si>
  <si>
    <t>розрахункова кількість днів за пору року, коли проводиться поливання дворів;</t>
  </si>
  <si>
    <t>розрахункова кількість днів за пору року, коли проводиться поливання газонів та (або) клумб;</t>
  </si>
  <si>
    <t>ціна 1 куб. метра води, використаної для поливання.</t>
  </si>
  <si>
    <t>вартість номерного знака;</t>
  </si>
  <si>
    <t>кількість знаків на будинку;</t>
  </si>
  <si>
    <t>строк експлуатації номерних знаків (місяців).</t>
  </si>
  <si>
    <t>заробітна плата електриків;</t>
  </si>
  <si>
    <t>тариф на 1 кВт·г електроенергії;</t>
  </si>
  <si>
    <t>кількість електроенергії, що використовується для освітлення місць загального користування, підвальних приміщень та підкачування води з розрахунку на місяць.</t>
  </si>
  <si>
    <t>середня кількість електроенергії для одного ліфта з розрахунку на місяць;</t>
  </si>
  <si>
    <t>тариф на 1 кВт·г електроенергії.</t>
  </si>
  <si>
    <t>№</t>
  </si>
  <si>
    <t>Стаття</t>
  </si>
  <si>
    <t>Формула</t>
  </si>
  <si>
    <t>кількість</t>
  </si>
  <si>
    <t>Код</t>
  </si>
  <si>
    <t>Кількість</t>
  </si>
  <si>
    <t>В т = (О з + В ф + Н + М + І) : П з ,</t>
  </si>
  <si>
    <t>П</t>
  </si>
  <si>
    <t>Н зн</t>
  </si>
  <si>
    <t>В л</t>
  </si>
  <si>
    <t>К л</t>
  </si>
  <si>
    <t>П зл</t>
  </si>
  <si>
    <t>В сд</t>
  </si>
  <si>
    <t>П зж</t>
  </si>
  <si>
    <t>К фо</t>
  </si>
  <si>
    <t>Н тв</t>
  </si>
  <si>
    <t>Т тв</t>
  </si>
  <si>
    <t>В вв</t>
  </si>
  <si>
    <t>Н вв</t>
  </si>
  <si>
    <t>Т вв</t>
  </si>
  <si>
    <t>В рв</t>
  </si>
  <si>
    <t>Н рв</t>
  </si>
  <si>
    <t>Т рв</t>
  </si>
  <si>
    <t>В рі</t>
  </si>
  <si>
    <t>Н рі</t>
  </si>
  <si>
    <t>Т рі</t>
  </si>
  <si>
    <t>В по</t>
  </si>
  <si>
    <t>Н по</t>
  </si>
  <si>
    <t>К ор</t>
  </si>
  <si>
    <t>Т по</t>
  </si>
  <si>
    <t>П зн</t>
  </si>
  <si>
    <t>В т</t>
  </si>
  <si>
    <t>В лз</t>
  </si>
  <si>
    <t>В др</t>
  </si>
  <si>
    <t>П п</t>
  </si>
  <si>
    <t>Т др</t>
  </si>
  <si>
    <t>К с</t>
  </si>
  <si>
    <t>Т к</t>
  </si>
  <si>
    <t>В ді</t>
  </si>
  <si>
    <t>Т ді</t>
  </si>
  <si>
    <t>В дк</t>
  </si>
  <si>
    <t>Д к</t>
  </si>
  <si>
    <t>Д ф</t>
  </si>
  <si>
    <t>В пд</t>
  </si>
  <si>
    <t>П д</t>
  </si>
  <si>
    <t>П г</t>
  </si>
  <si>
    <t>Н д</t>
  </si>
  <si>
    <t>Н г</t>
  </si>
  <si>
    <t>Д д</t>
  </si>
  <si>
    <t>Д г</t>
  </si>
  <si>
    <t>Т в</t>
  </si>
  <si>
    <t>В ез</t>
  </si>
  <si>
    <t>В з</t>
  </si>
  <si>
    <t>Н е</t>
  </si>
  <si>
    <t>В о</t>
  </si>
  <si>
    <t>О зе</t>
  </si>
  <si>
    <t>Т е</t>
  </si>
  <si>
    <t>В е</t>
  </si>
  <si>
    <t>Штатное расписание</t>
  </si>
  <si>
    <t>Головний бухгалтер</t>
  </si>
  <si>
    <t>Бухгалтер</t>
  </si>
  <si>
    <t>Посада</t>
  </si>
  <si>
    <t>оклад</t>
  </si>
  <si>
    <t>Всього:</t>
  </si>
  <si>
    <t>Директор з організаційних питань</t>
  </si>
  <si>
    <t>сумма</t>
  </si>
  <si>
    <t>Слесарь-сантехник</t>
  </si>
  <si>
    <t>Сантехник-сварщик</t>
  </si>
  <si>
    <t>Дворник</t>
  </si>
  <si>
    <t>начисления</t>
  </si>
  <si>
    <t>всего</t>
  </si>
  <si>
    <t>охрана</t>
  </si>
  <si>
    <t>подрядная фирма</t>
  </si>
  <si>
    <t>Всего:</t>
  </si>
  <si>
    <t>№ п/п</t>
  </si>
  <si>
    <t>Наименование статей доходов и затрат</t>
  </si>
  <si>
    <t>сумма на месяц</t>
  </si>
  <si>
    <t>за кв.м на месяц</t>
  </si>
  <si>
    <t>Доходы</t>
  </si>
  <si>
    <t>Расходы</t>
  </si>
  <si>
    <t>Зарплата</t>
  </si>
  <si>
    <t>Выплаты по договорам</t>
  </si>
  <si>
    <t>кол-во</t>
  </si>
  <si>
    <t>сумма зп</t>
  </si>
  <si>
    <t>Охрана территории</t>
  </si>
  <si>
    <t>Виконавчий директор / головний інженер</t>
  </si>
  <si>
    <t>Дворник-тракторист</t>
  </si>
  <si>
    <t>Прибиральник</t>
  </si>
  <si>
    <t>Электрик-лифтер</t>
  </si>
  <si>
    <t>Электрик-механик</t>
  </si>
  <si>
    <t>Лифты</t>
  </si>
  <si>
    <t>Вывоз мусора</t>
  </si>
  <si>
    <t>Эл.энергия</t>
  </si>
  <si>
    <t>Эл.энергия для лифтов</t>
  </si>
  <si>
    <t>Обслуживание пож.сигнал</t>
  </si>
  <si>
    <t>Витрати з технічного обслуговування внутрішньобудинкових систем гарячого і холодного водопостачання, водовідведення, централізованого опалення і зливової каналізації та з ліквідації аварій у внутрішньоквартирних мережах визначаються за кожною інженерною системою окремо.</t>
  </si>
  <si>
    <t>Вартість робіт з технічного обслуговування та поточного ремонту систем протипожежної автоматики та димовидалення, а також за наявності інших внутрішньобудинкових інженерних систем, не зазначених у пунктах 13 і 18 цього Порядку, у разі виконання таких робіт виконавцем визначається за формулою, наведеною в пункті 7 цього Порядку.</t>
  </si>
  <si>
    <t>Витрати з прибирання і вивезення снігу</t>
  </si>
  <si>
    <t>Витрати з проведення поточного ремонту конструктивних елементів, внутрішньобудинкових систем гарячого і холодного водопостачання, водовідведення, централізованого опалення та зливової каналізації і технічних пристроїв будинків та елементів зовнішнього упорядження</t>
  </si>
  <si>
    <t>Витрати з технічного обслуговування внутрішньобудинкових систем гарячого і холодного водопостачання, водовідведення, централізованого опалення і зливової каналізації</t>
  </si>
  <si>
    <t>Всего</t>
  </si>
  <si>
    <t>Жилые помещения</t>
  </si>
  <si>
    <t>Нежилые помещения (кроме паркинга)</t>
  </si>
  <si>
    <t>Паркинг</t>
  </si>
  <si>
    <t>Взносы на содержание дома</t>
  </si>
  <si>
    <t>подготовка к отопит. сезону</t>
  </si>
  <si>
    <t>прямые расходы</t>
  </si>
  <si>
    <t>ЖЭК</t>
  </si>
  <si>
    <t>косвенные расходы</t>
  </si>
  <si>
    <t>ОСББ</t>
  </si>
  <si>
    <t xml:space="preserve">Витрати з прибирання прибудинкових територій та прибирання сходових клітин </t>
  </si>
  <si>
    <t xml:space="preserve">Складова тарифу з прибирання прибудинкової території </t>
  </si>
  <si>
    <t xml:space="preserve">Складова тарифу з прибирання сходових клітин, маршів, площадок тощо </t>
  </si>
  <si>
    <t xml:space="preserve">Витрати з вивезення та знешкодження твердих побутових, великогабаритних, рідких відходів </t>
  </si>
  <si>
    <t xml:space="preserve">Витрати з прибирання підвалів, технічних поверхів, покрівлі </t>
  </si>
  <si>
    <t xml:space="preserve">Витрати з технічного обслуговування ліфтів </t>
  </si>
  <si>
    <t xml:space="preserve">Витрати з технічного обслуговування диспетчерської системи ліфтів </t>
  </si>
  <si>
    <t xml:space="preserve">Витрати з технічного обслуговування внутрішньобудинкових систем ГВП і ХВП, водовідведення, теплопостачання та зливової каналізації </t>
  </si>
  <si>
    <t xml:space="preserve">Витрати з дератизації </t>
  </si>
  <si>
    <t xml:space="preserve">Витрати з дезінсекції </t>
  </si>
  <si>
    <t xml:space="preserve">Витрати з обслуговування димовентиляційних каналів </t>
  </si>
  <si>
    <t xml:space="preserve">Витрати на обслуговування ППА і ДВ, а також на інші внутрішьобудинкові інженерні системи </t>
  </si>
  <si>
    <t xml:space="preserve">Проведення поточного ремонту </t>
  </si>
  <si>
    <t xml:space="preserve">Витрати з поливання дворів, клумб та (або) газонів </t>
  </si>
  <si>
    <t xml:space="preserve">Прибирання і вивезення снігу, посипання частини прибудинкової території, призначеної для проїзду, протиожеледними сумішами </t>
  </si>
  <si>
    <t xml:space="preserve">Витрати з експлуатації номерних знаків </t>
  </si>
  <si>
    <t xml:space="preserve">Витрати з освітлення місць загального користування і підвалів та підкачування води </t>
  </si>
  <si>
    <t xml:space="preserve">Енергопостачання ліфтів </t>
  </si>
  <si>
    <t xml:space="preserve">Тариф на послуги з утримання будинків і споруд та прибудинкових територій (з ПДВ) </t>
  </si>
  <si>
    <t>Тариф на послуги з утримання будинків і споруд та прибудинкових територій</t>
  </si>
  <si>
    <t>Тариф ОСББ у % до інших тарифів</t>
  </si>
  <si>
    <t>Тариф ОСББ у порівнянні до інших тарифів</t>
  </si>
  <si>
    <t xml:space="preserve">Витрати з прибирання прибудинкової території </t>
  </si>
  <si>
    <t xml:space="preserve">Витрати з прибирання сходових клітин, маршів, площадок тощо </t>
  </si>
  <si>
    <t>Всього</t>
  </si>
  <si>
    <t>Оклад</t>
  </si>
  <si>
    <t>ЄСВ</t>
  </si>
  <si>
    <t>ПДФО</t>
  </si>
  <si>
    <t>на руки</t>
  </si>
  <si>
    <t>Нарахування</t>
  </si>
  <si>
    <t>В бюджет</t>
  </si>
  <si>
    <t>На одного працівника</t>
  </si>
  <si>
    <t>Штатний розклад</t>
  </si>
  <si>
    <t>ОСББ "Брест-Литовське"</t>
  </si>
  <si>
    <t>Розподіл з/п</t>
  </si>
  <si>
    <t>Начальник дільниці</t>
  </si>
  <si>
    <t>Диспетчер</t>
  </si>
  <si>
    <t>Итог</t>
  </si>
  <si>
    <t>доля затрат, %</t>
  </si>
  <si>
    <t>распре-деление прямых затрат</t>
  </si>
  <si>
    <t>распре-деление админ. расходов</t>
  </si>
  <si>
    <t>Итого состав тарифа</t>
  </si>
  <si>
    <t>Взносы на отопление</t>
  </si>
  <si>
    <t>Возмещение стоимости эл.энергии</t>
  </si>
  <si>
    <t>Возмещение стоимости хол.воды</t>
  </si>
  <si>
    <t>цена/ оклад</t>
  </si>
  <si>
    <t>Возмещение стоимости гар.воды</t>
  </si>
  <si>
    <t>Всего доходы:</t>
  </si>
  <si>
    <t>1. Расходы на содержание дома</t>
  </si>
  <si>
    <t>Всего Расходы на содержание дома:</t>
  </si>
  <si>
    <t>2. Расходы на отопление</t>
  </si>
  <si>
    <t>Оплата за газ</t>
  </si>
  <si>
    <t>Обслуживание котелен</t>
  </si>
  <si>
    <t xml:space="preserve">Налог на выбросы </t>
  </si>
  <si>
    <t>Метрологическая проверка приборов газа</t>
  </si>
  <si>
    <t>Системы пожаротушения</t>
  </si>
  <si>
    <t>Метрологическая проверка эл.приборов</t>
  </si>
  <si>
    <t>Обслуживание насосов</t>
  </si>
  <si>
    <t>Обслуживание скважины</t>
  </si>
  <si>
    <t>Обслуживание оборудования высокой стороны (кабель)</t>
  </si>
  <si>
    <t>Всего Расходы на отопление:</t>
  </si>
  <si>
    <t>Эл.энергия для насосов</t>
  </si>
  <si>
    <t>Замена подшипников</t>
  </si>
  <si>
    <t>Налог на воду</t>
  </si>
  <si>
    <t>Проверка систем дымоудаления</t>
  </si>
  <si>
    <t>Дератизация и дезинсекция</t>
  </si>
  <si>
    <t>Банковское обслуж-е</t>
  </si>
  <si>
    <t>Эл.отчетность</t>
  </si>
  <si>
    <t>Программное обесп-е</t>
  </si>
  <si>
    <t>Телефон</t>
  </si>
  <si>
    <t>Юр.сопровождение</t>
  </si>
  <si>
    <t>Судебные расходы</t>
  </si>
  <si>
    <t>Офисные расходы</t>
  </si>
  <si>
    <t>Вода (уборка/полив)</t>
  </si>
  <si>
    <t>Закупка мат.ценностей</t>
  </si>
  <si>
    <t>Кап.ремонт</t>
  </si>
  <si>
    <t>Текущий ремонт</t>
  </si>
  <si>
    <t>Резервный фонд</t>
  </si>
  <si>
    <t>3. Расходы на Возмещение стоимости эл.энергии</t>
  </si>
  <si>
    <t>Всего Возмещение стоимости эл.энергии:</t>
  </si>
  <si>
    <t>Расходы на поставку услуг</t>
  </si>
  <si>
    <t>4. Расходы на Возмещение стоимости хол.воды</t>
  </si>
  <si>
    <t>Всего Возмещение стоимости хол.воды:</t>
  </si>
  <si>
    <t>5. Расходы на Возмещение стоимости гар.воды</t>
  </si>
  <si>
    <t>Всего Возмещение стоимости гар.воды:</t>
  </si>
  <si>
    <t>Эл.энергия для КНС</t>
  </si>
  <si>
    <t>Подогрев воды</t>
  </si>
  <si>
    <t>Всего Расходы:</t>
  </si>
  <si>
    <t>Формирование фондов</t>
  </si>
  <si>
    <t>Загалом Витрати на послуги з утримання будинків і споруд та прибудинкових територій</t>
  </si>
  <si>
    <t>ВЗ</t>
  </si>
  <si>
    <t>Резерв</t>
  </si>
  <si>
    <t>Возмещение расходов на содержание паркинга</t>
  </si>
  <si>
    <t>Водоотвод</t>
  </si>
  <si>
    <t>за п/м на месяц</t>
  </si>
  <si>
    <t>Надходження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</si>
  <si>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</si>
  <si>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</si>
  <si>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</si>
  <si>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</si>
  <si>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</si>
  <si>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</si>
  <si>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</si>
  <si>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</si>
  <si>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</si>
  <si>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</si>
  <si>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</si>
  <si>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</si>
  <si>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Загалом</t>
  </si>
  <si>
    <t>Утримання будинку</t>
  </si>
  <si>
    <t>Опалення</t>
  </si>
  <si>
    <t>Холодна вода</t>
  </si>
  <si>
    <t>Електроенергія</t>
  </si>
  <si>
    <t>Гаряча вода</t>
  </si>
  <si>
    <t>Загалом надходження</t>
  </si>
  <si>
    <t>Добровільні внески - паркінг</t>
  </si>
  <si>
    <t>Доровільні внески</t>
  </si>
  <si>
    <t>Х.вода и водоотвод</t>
  </si>
  <si>
    <t>Витрати</t>
  </si>
  <si>
    <t>Заробітна плата</t>
  </si>
  <si>
    <t>Нарахування на заробітну плату</t>
  </si>
  <si>
    <t>дом</t>
  </si>
  <si>
    <t>газ</t>
  </si>
  <si>
    <t>э/э</t>
  </si>
  <si>
    <t>вода</t>
  </si>
  <si>
    <t>г/в</t>
  </si>
  <si>
    <t>Газ</t>
  </si>
  <si>
    <t>Системи пожежогасіння та пожежна сигналізація</t>
  </si>
  <si>
    <t>Обслуговування ліфтів</t>
  </si>
  <si>
    <t>Вивіз сміття</t>
  </si>
  <si>
    <t>Обслуговування насосів</t>
  </si>
  <si>
    <t>Возмещение стоимости эл.энергии жильцов</t>
  </si>
  <si>
    <t>Юридичний супровід</t>
  </si>
  <si>
    <t>Податок на воду</t>
  </si>
  <si>
    <t>Податок на викиди</t>
  </si>
  <si>
    <t>Банк, бухгалтерія і звітність</t>
  </si>
  <si>
    <t>Судові витрати</t>
  </si>
  <si>
    <t>Дератизація и дезінсекція</t>
  </si>
  <si>
    <t>Охорона</t>
  </si>
  <si>
    <t>Загалом витрати</t>
  </si>
  <si>
    <t>Расчет 1</t>
  </si>
  <si>
    <t>Расчет 2</t>
  </si>
  <si>
    <t>Збільшення</t>
  </si>
  <si>
    <t>Кошторис ОСББ "Брест-Литовське" на 2015 рік</t>
  </si>
  <si>
    <t>Фонд оплати праці</t>
  </si>
  <si>
    <t>Капітальний ремонт</t>
  </si>
  <si>
    <t>Водовідведення</t>
  </si>
  <si>
    <t>Поточні ремонти</t>
  </si>
  <si>
    <t>Обслуговування котелень</t>
  </si>
  <si>
    <t>Підготовка до опалювального сезону</t>
  </si>
  <si>
    <t>Офісні витрати</t>
  </si>
  <si>
    <t>По житлових примщеннях</t>
  </si>
  <si>
    <t>Загалом по житлових приміщеннях</t>
  </si>
  <si>
    <t>По нежитлових примщеннях</t>
  </si>
  <si>
    <t>Загалом по нежитлових приміщеннях</t>
  </si>
  <si>
    <t>По паркінгу</t>
  </si>
  <si>
    <t>Загалом по паркінгу</t>
  </si>
  <si>
    <t>Перевірка систем димовидалення</t>
  </si>
  <si>
    <t>Обслуговування обладнання високої сторони (кабель)</t>
  </si>
  <si>
    <t>Обслуговування свердловини</t>
  </si>
  <si>
    <t>Метрологічна перевірка приладів</t>
  </si>
  <si>
    <t>Заміна підшипників</t>
  </si>
  <si>
    <t>Вода (прибирання/полив)</t>
  </si>
  <si>
    <t>Електрик-механік</t>
  </si>
  <si>
    <t>Електрик-ліфтер</t>
  </si>
  <si>
    <t>Сантехнік-зварювальник</t>
  </si>
  <si>
    <t>Слюсар-сантехнік</t>
  </si>
  <si>
    <t>Двіорник</t>
  </si>
  <si>
    <t>Структура внесків</t>
  </si>
  <si>
    <t>Структура обов'язкових внесків</t>
  </si>
  <si>
    <t>Обов'язкові
внески
по 31.03.2015</t>
  </si>
  <si>
    <t>Обов'язкові
внески
з 01.04.2015
по 31.08.2015</t>
  </si>
  <si>
    <t>Обов'язкові
внески
з 01.09.2015</t>
  </si>
  <si>
    <t>на утримання будинку та прибудинкової території</t>
  </si>
  <si>
    <t>Населенню, яке проживає в сільській місцевості</t>
  </si>
  <si>
    <t>обладнаних кухонними електроплитами)</t>
  </si>
  <si>
    <t>(у тому числі яке проживає в житлових будинках,</t>
  </si>
  <si>
    <t>до 150 кВт∙год</t>
  </si>
  <si>
    <t>за обсяг, спожитий за місяць</t>
  </si>
  <si>
    <t>(включно)</t>
  </si>
  <si>
    <t>до 600 кВт∙год</t>
  </si>
  <si>
    <t>з енергопостачальною організацією</t>
  </si>
  <si>
    <t>за загальним розрахунковим засобом обліку</t>
  </si>
  <si>
    <t>крім гуртожитків</t>
  </si>
  <si>
    <t>житлово-експлуатаційним організаціям,</t>
  </si>
  <si>
    <t>юридичної особи,</t>
  </si>
  <si>
    <t>та об’єднане шляхом створення</t>
  </si>
  <si>
    <t>1.2. Електроенергія, що відпускається:</t>
  </si>
  <si>
    <t>1.6. Населенню, яке розраховується</t>
  </si>
  <si>
    <t>ЗАТВЕРДЖЕНО</t>
  </si>
  <si>
    <t>Постанова НКРЕКП</t>
  </si>
  <si>
    <t>Дата</t>
  </si>
  <si>
    <t>до 100 кВт∙год</t>
  </si>
  <si>
    <t>1.3. Населенню, яке проживає в житлових будинках (у тому числі в житлових будинках готельного типу, квартирах та гуртожитках), обладнаних у встановленому порядку кухонними електроплитами (у тому числі в сільській місцевості):</t>
  </si>
  <si>
    <t>до 250 кВт∙год</t>
  </si>
  <si>
    <t>до 800 кВт∙год</t>
  </si>
  <si>
    <t>понад 800 кВт∙год</t>
  </si>
  <si>
    <t xml:space="preserve">1.6. Населенню, яке розраховується з енергопостачальною організацією за загальним розрахунковим засобом обліку та об’єднане шляхом створення юридичної особи, крім гуртожитків
</t>
  </si>
  <si>
    <t>1.9. Населенню, яке розраховується з енергопостачальною організацією за загальним розрахунковим засобом обліку та об’єднане шляхом створення юридичної особи і проживає в житлових будинках (у тому числі в житлових будинках готельного типу), обладнаних у встановленому порядку кухонними електроплитами та/або електроопалювальними установками (у тому числі в сільській місцевості), крім гуртожитків</t>
  </si>
  <si>
    <t>1.2. Населенню, яке проживає в сільській місцевості (у тому числі яке проживає в житлових будинках, обладнаних кухонними електроплитами):</t>
  </si>
  <si>
    <t>1.6. Населенню, яке розраховується з енергопостачальною організацією за загальним розрахунковим засобом обліку та об’єднане шляхом створення юридичної особи, житлово-експлуатаційним організаціям, крім гуртожитків</t>
  </si>
  <si>
    <t>1.1. Населенню (у тому числі яке проживає в житлових будинках, обладнаних кухонними електроплитами) (у тому числі в сільській місцевості):</t>
  </si>
  <si>
    <t>1.5. Населенню, яке розраховується з енергопостачальною організацією за загальним розрахунковим засобом обліку та об’єднане шляхом створення юридичної особи, житлово-експлуатаційним організаціям, крім гуртожитків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</si>
</sst>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_-* #,##0.00_р_._-;\-* #,##0.00_р_._-;_-* &quot;-&quot;??_р_._-;_-@_-"/>
    <numFmt numFmtId="165" formatCode="#,##0.000"/>
    <numFmt numFmtId="166" formatCode="#,##0.0000"/>
    <numFmt numFmtId="167" formatCode="#,##0.0"/>
    <numFmt numFmtId="168" formatCode="#,##0.00000"/>
    <numFmt numFmtId="169" formatCode="0.0%"/>
    <numFmt numFmtId="170" formatCode="0.0%;[Red]\-0.0%"/>
    <numFmt numFmtId="171" formatCode="#,##0.0000_ ;[Red]\-#,##0.0000\ "/>
    <numFmt numFmtId="172" formatCode="0.000"/>
    <numFmt numFmtId="173" formatCode="#,##0.000000"/>
    <numFmt numFmtId="174" formatCode="#,##0.0000000"/>
    <numFmt numFmtId="175" formatCode="0.000%"/>
    <numFmt numFmtId="176" formatCode="0.0000"/>
    <numFmt numFmtId="177" formatCode="#,##0.000000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sz val="200"/>
      <name val="Times New Roman"/>
      <family val="1"/>
      <charset val="204"/>
    </font>
    <font>
      <b/>
      <sz val="11"/>
      <name val="Arial Cyr"/>
      <charset val="204"/>
    </font>
    <font>
      <sz val="10"/>
      <color indexed="23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 Cyr"/>
      <charset val="204"/>
    </font>
    <font>
      <b/>
      <sz val="12"/>
      <name val="Arial Cyr"/>
      <charset val="204"/>
    </font>
    <font>
      <sz val="11"/>
      <name val="Arial Cyr"/>
      <charset val="204"/>
    </font>
    <font>
      <sz val="12"/>
      <name val="Arial Cyr"/>
      <charset val="204"/>
    </font>
    <font>
      <sz val="10"/>
      <color indexed="23"/>
      <name val="Arial Cyr"/>
      <charset val="204"/>
    </font>
    <font>
      <b/>
      <sz val="10"/>
      <color indexed="9"/>
      <name val="Arial Cyr"/>
      <charset val="204"/>
    </font>
    <font>
      <sz val="10"/>
      <color indexed="9"/>
      <name val="Arial Cyr"/>
      <charset val="204"/>
    </font>
    <font>
      <sz val="9"/>
      <name val="Arial Cyr"/>
      <charset val="204"/>
    </font>
    <font>
      <sz val="8"/>
      <name val="Arial"/>
      <family val="2"/>
      <charset val="204"/>
    </font>
    <font>
      <b/>
      <sz val="14"/>
      <name val="Arial Cyr"/>
      <charset val="204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627">
    <xf numFmtId="0" fontId="0" fillId="0" borderId="0" xfId="0"/>
    <xf numFmtId="0" fontId="2" fillId="0" borderId="0" xfId="0" applyFont="1"/>
    <xf numFmtId="0" fontId="4" fillId="0" borderId="0" xfId="0" applyFont="1"/>
    <xf numFmtId="0" fontId="0" fillId="2" borderId="0" xfId="0" applyFill="1"/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justify" vertical="top"/>
    </xf>
    <xf numFmtId="0" fontId="0" fillId="0" borderId="0" xfId="0" applyAlignment="1">
      <alignment vertical="top"/>
    </xf>
    <xf numFmtId="0" fontId="8" fillId="0" borderId="0" xfId="0" applyFont="1" applyAlignment="1">
      <alignment horizontal="justify" vertical="top"/>
    </xf>
    <xf numFmtId="0" fontId="7" fillId="2" borderId="0" xfId="0" applyFont="1" applyFill="1" applyAlignment="1">
      <alignment horizontal="justify" vertical="top"/>
    </xf>
    <xf numFmtId="0" fontId="8" fillId="0" borderId="0" xfId="0" applyFont="1" applyAlignment="1">
      <alignment horizontal="center" vertical="top"/>
    </xf>
    <xf numFmtId="165" fontId="0" fillId="0" borderId="0" xfId="0" applyNumberFormat="1" applyAlignment="1">
      <alignment vertical="top"/>
    </xf>
    <xf numFmtId="0" fontId="2" fillId="0" borderId="1" xfId="0" applyFont="1" applyBorder="1"/>
    <xf numFmtId="0" fontId="0" fillId="0" borderId="0" xfId="0" applyAlignment="1">
      <alignment horizontal="right" vertical="top"/>
    </xf>
    <xf numFmtId="4" fontId="0" fillId="0" borderId="0" xfId="0" applyNumberFormat="1"/>
    <xf numFmtId="0" fontId="0" fillId="0" borderId="0" xfId="0" applyFont="1"/>
    <xf numFmtId="4" fontId="10" fillId="0" borderId="0" xfId="0" applyNumberFormat="1" applyFont="1" applyAlignment="1">
      <alignment vertical="top"/>
    </xf>
    <xf numFmtId="165" fontId="10" fillId="0" borderId="0" xfId="0" applyNumberFormat="1" applyFont="1" applyAlignment="1">
      <alignment vertical="top"/>
    </xf>
    <xf numFmtId="166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166" fontId="10" fillId="2" borderId="0" xfId="0" applyNumberFormat="1" applyFont="1" applyFill="1" applyAlignment="1">
      <alignment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4" fontId="11" fillId="0" borderId="0" xfId="0" applyNumberFormat="1" applyFont="1" applyAlignment="1">
      <alignment vertical="top"/>
    </xf>
    <xf numFmtId="165" fontId="11" fillId="0" borderId="0" xfId="0" applyNumberFormat="1" applyFont="1" applyAlignment="1">
      <alignment vertical="top"/>
    </xf>
    <xf numFmtId="0" fontId="10" fillId="0" borderId="0" xfId="0" applyFont="1" applyAlignment="1">
      <alignment horizontal="centerContinuous" vertical="top"/>
    </xf>
    <xf numFmtId="0" fontId="10" fillId="0" borderId="0" xfId="0" applyFont="1" applyAlignment="1">
      <alignment horizontal="centerContinuous" vertical="top" wrapText="1"/>
    </xf>
    <xf numFmtId="4" fontId="10" fillId="0" borderId="0" xfId="0" applyNumberFormat="1" applyFont="1" applyAlignment="1">
      <alignment horizontal="centerContinuous" vertical="top"/>
    </xf>
    <xf numFmtId="165" fontId="10" fillId="0" borderId="0" xfId="0" applyNumberFormat="1" applyFont="1" applyAlignment="1">
      <alignment horizontal="center" vertical="top"/>
    </xf>
    <xf numFmtId="166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justify" vertical="top"/>
    </xf>
    <xf numFmtId="0" fontId="11" fillId="2" borderId="0" xfId="0" applyFont="1" applyFill="1" applyAlignment="1">
      <alignment horizontal="center" vertical="top"/>
    </xf>
    <xf numFmtId="0" fontId="11" fillId="2" borderId="0" xfId="0" applyFont="1" applyFill="1" applyAlignment="1">
      <alignment vertical="top" wrapText="1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166" fontId="0" fillId="0" borderId="2" xfId="0" applyNumberFormat="1" applyBorder="1"/>
    <xf numFmtId="166" fontId="0" fillId="0" borderId="2" xfId="0" applyNumberFormat="1" applyFont="1" applyBorder="1"/>
    <xf numFmtId="0" fontId="0" fillId="0" borderId="2" xfId="0" applyBorder="1"/>
    <xf numFmtId="4" fontId="0" fillId="0" borderId="2" xfId="0" applyNumberFormat="1" applyBorder="1"/>
    <xf numFmtId="4" fontId="0" fillId="0" borderId="2" xfId="0" applyNumberFormat="1" applyFont="1" applyBorder="1"/>
    <xf numFmtId="0" fontId="0" fillId="0" borderId="1" xfId="0" applyBorder="1"/>
    <xf numFmtId="4" fontId="0" fillId="0" borderId="1" xfId="0" applyNumberFormat="1" applyBorder="1"/>
    <xf numFmtId="0" fontId="0" fillId="0" borderId="3" xfId="0" applyBorder="1"/>
    <xf numFmtId="0" fontId="2" fillId="0" borderId="0" xfId="0" applyFont="1" applyBorder="1"/>
    <xf numFmtId="3" fontId="2" fillId="0" borderId="0" xfId="0" applyNumberFormat="1" applyFont="1" applyBorder="1"/>
    <xf numFmtId="4" fontId="2" fillId="0" borderId="0" xfId="0" applyNumberFormat="1" applyFont="1" applyBorder="1"/>
    <xf numFmtId="0" fontId="0" fillId="0" borderId="0" xfId="0" applyBorder="1"/>
    <xf numFmtId="3" fontId="0" fillId="0" borderId="0" xfId="0" applyNumberFormat="1" applyBorder="1"/>
    <xf numFmtId="4" fontId="0" fillId="0" borderId="0" xfId="0" applyNumberFormat="1" applyBorder="1"/>
    <xf numFmtId="4" fontId="0" fillId="0" borderId="0" xfId="0" applyNumberFormat="1" applyFont="1" applyBorder="1"/>
    <xf numFmtId="3" fontId="0" fillId="0" borderId="1" xfId="0" applyNumberFormat="1" applyBorder="1"/>
    <xf numFmtId="166" fontId="0" fillId="0" borderId="3" xfId="0" applyNumberFormat="1" applyFont="1" applyBorder="1"/>
    <xf numFmtId="4" fontId="2" fillId="0" borderId="1" xfId="0" applyNumberFormat="1" applyFont="1" applyBorder="1"/>
    <xf numFmtId="0" fontId="0" fillId="0" borderId="0" xfId="0" applyFont="1" applyBorder="1"/>
    <xf numFmtId="166" fontId="2" fillId="0" borderId="3" xfId="0" applyNumberFormat="1" applyFont="1" applyBorder="1"/>
    <xf numFmtId="0" fontId="2" fillId="0" borderId="2" xfId="0" applyFont="1" applyBorder="1"/>
    <xf numFmtId="0" fontId="2" fillId="0" borderId="3" xfId="0" applyFont="1" applyBorder="1"/>
    <xf numFmtId="0" fontId="0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0" xfId="0" applyFont="1" applyAlignment="1">
      <alignment horizontal="center" vertical="center" wrapText="1"/>
    </xf>
    <xf numFmtId="166" fontId="10" fillId="0" borderId="0" xfId="0" applyNumberFormat="1" applyFont="1" applyAlignment="1">
      <alignment vertical="center"/>
    </xf>
    <xf numFmtId="4" fontId="10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9" fontId="10" fillId="0" borderId="0" xfId="1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166" fontId="2" fillId="0" borderId="0" xfId="0" applyNumberFormat="1" applyFont="1" applyFill="1" applyAlignment="1">
      <alignment horizontal="centerContinuous" vertical="center"/>
    </xf>
    <xf numFmtId="166" fontId="2" fillId="0" borderId="0" xfId="0" applyNumberFormat="1" applyFont="1" applyFill="1" applyAlignment="1">
      <alignment vertical="center"/>
    </xf>
    <xf numFmtId="170" fontId="2" fillId="0" borderId="0" xfId="1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6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166" fontId="2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 applyBorder="1" applyAlignment="1">
      <alignment vertical="center"/>
    </xf>
    <xf numFmtId="166" fontId="2" fillId="0" borderId="2" xfId="0" applyNumberFormat="1" applyFont="1" applyFill="1" applyBorder="1" applyAlignment="1">
      <alignment vertical="center"/>
    </xf>
    <xf numFmtId="170" fontId="2" fillId="0" borderId="0" xfId="1" applyNumberFormat="1" applyFont="1" applyFill="1" applyBorder="1" applyAlignment="1">
      <alignment vertical="center"/>
    </xf>
    <xf numFmtId="170" fontId="2" fillId="0" borderId="2" xfId="1" applyNumberFormat="1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vertical="center"/>
    </xf>
    <xf numFmtId="166" fontId="6" fillId="0" borderId="2" xfId="0" applyNumberFormat="1" applyFont="1" applyFill="1" applyBorder="1" applyAlignment="1">
      <alignment vertical="center"/>
    </xf>
    <xf numFmtId="166" fontId="0" fillId="0" borderId="0" xfId="0" applyNumberFormat="1" applyFont="1" applyFill="1" applyBorder="1" applyAlignment="1">
      <alignment vertical="center"/>
    </xf>
    <xf numFmtId="170" fontId="0" fillId="0" borderId="0" xfId="1" applyNumberFormat="1" applyFont="1" applyFill="1" applyBorder="1" applyAlignment="1">
      <alignment vertical="center"/>
    </xf>
    <xf numFmtId="170" fontId="0" fillId="0" borderId="2" xfId="1" applyNumberFormat="1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166" fontId="6" fillId="0" borderId="1" xfId="0" applyNumberFormat="1" applyFont="1" applyFill="1" applyBorder="1" applyAlignment="1">
      <alignment horizontal="center" vertical="center"/>
    </xf>
    <xf numFmtId="166" fontId="6" fillId="0" borderId="1" xfId="0" applyNumberFormat="1" applyFont="1" applyFill="1" applyBorder="1" applyAlignment="1">
      <alignment vertical="center"/>
    </xf>
    <xf numFmtId="166" fontId="6" fillId="0" borderId="3" xfId="0" applyNumberFormat="1" applyFont="1" applyFill="1" applyBorder="1" applyAlignment="1">
      <alignment vertical="center"/>
    </xf>
    <xf numFmtId="166" fontId="0" fillId="0" borderId="1" xfId="0" applyNumberFormat="1" applyFont="1" applyFill="1" applyBorder="1" applyAlignment="1">
      <alignment vertical="center"/>
    </xf>
    <xf numFmtId="166" fontId="0" fillId="0" borderId="3" xfId="0" applyNumberFormat="1" applyFont="1" applyFill="1" applyBorder="1" applyAlignment="1">
      <alignment vertical="center"/>
    </xf>
    <xf numFmtId="170" fontId="0" fillId="0" borderId="1" xfId="1" applyNumberFormat="1" applyFont="1" applyFill="1" applyBorder="1" applyAlignment="1">
      <alignment vertical="center"/>
    </xf>
    <xf numFmtId="170" fontId="0" fillId="0" borderId="3" xfId="1" applyNumberFormat="1" applyFont="1" applyFill="1" applyBorder="1" applyAlignment="1">
      <alignment vertical="center"/>
    </xf>
    <xf numFmtId="0" fontId="0" fillId="0" borderId="7" xfId="0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/>
    </xf>
    <xf numFmtId="166" fontId="0" fillId="0" borderId="1" xfId="0" applyNumberFormat="1" applyFill="1" applyBorder="1" applyAlignment="1">
      <alignment horizontal="center" vertical="center"/>
    </xf>
    <xf numFmtId="166" fontId="0" fillId="0" borderId="1" xfId="0" applyNumberFormat="1" applyFill="1" applyBorder="1" applyAlignment="1">
      <alignment vertical="center"/>
    </xf>
    <xf numFmtId="166" fontId="0" fillId="0" borderId="3" xfId="0" applyNumberFormat="1" applyFill="1" applyBorder="1" applyAlignment="1">
      <alignment vertical="center"/>
    </xf>
    <xf numFmtId="0" fontId="17" fillId="0" borderId="2" xfId="0" applyFont="1" applyFill="1" applyBorder="1" applyAlignment="1">
      <alignment horizontal="center" vertical="center"/>
    </xf>
    <xf numFmtId="166" fontId="17" fillId="0" borderId="0" xfId="0" applyNumberFormat="1" applyFont="1" applyFill="1" applyBorder="1" applyAlignment="1">
      <alignment vertical="center"/>
    </xf>
    <xf numFmtId="166" fontId="17" fillId="0" borderId="2" xfId="0" applyNumberFormat="1" applyFont="1" applyFill="1" applyBorder="1" applyAlignment="1">
      <alignment vertical="center"/>
    </xf>
    <xf numFmtId="0" fontId="17" fillId="0" borderId="3" xfId="0" applyFont="1" applyFill="1" applyBorder="1" applyAlignment="1">
      <alignment horizontal="center" vertical="center"/>
    </xf>
    <xf numFmtId="166" fontId="17" fillId="0" borderId="1" xfId="0" applyNumberFormat="1" applyFont="1" applyFill="1" applyBorder="1" applyAlignment="1">
      <alignment vertical="center"/>
    </xf>
    <xf numFmtId="166" fontId="17" fillId="0" borderId="3" xfId="0" applyNumberFormat="1" applyFont="1" applyFill="1" applyBorder="1" applyAlignment="1">
      <alignment vertical="center"/>
    </xf>
    <xf numFmtId="0" fontId="5" fillId="0" borderId="7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/>
    </xf>
    <xf numFmtId="166" fontId="5" fillId="0" borderId="1" xfId="0" applyNumberFormat="1" applyFont="1" applyFill="1" applyBorder="1" applyAlignment="1">
      <alignment horizontal="center" vertical="center"/>
    </xf>
    <xf numFmtId="166" fontId="5" fillId="0" borderId="1" xfId="0" applyNumberFormat="1" applyFont="1" applyFill="1" applyBorder="1" applyAlignment="1">
      <alignment vertical="center"/>
    </xf>
    <xf numFmtId="166" fontId="5" fillId="0" borderId="3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166" fontId="0" fillId="0" borderId="0" xfId="0" applyNumberFormat="1" applyFill="1" applyAlignment="1">
      <alignment vertical="center"/>
    </xf>
    <xf numFmtId="170" fontId="0" fillId="0" borderId="0" xfId="1" applyNumberFormat="1" applyFont="1" applyFill="1" applyAlignment="1">
      <alignment vertical="center"/>
    </xf>
    <xf numFmtId="0" fontId="6" fillId="0" borderId="6" xfId="0" applyFont="1" applyFill="1" applyBorder="1" applyAlignment="1">
      <alignment horizontal="left" vertical="center" wrapText="1" indent="2"/>
    </xf>
    <xf numFmtId="0" fontId="6" fillId="0" borderId="7" xfId="0" applyFont="1" applyFill="1" applyBorder="1" applyAlignment="1">
      <alignment horizontal="left" vertical="center" wrapText="1" indent="2"/>
    </xf>
    <xf numFmtId="0" fontId="17" fillId="0" borderId="6" xfId="0" applyFont="1" applyFill="1" applyBorder="1" applyAlignment="1">
      <alignment horizontal="left" vertical="center" wrapText="1" indent="2"/>
    </xf>
    <xf numFmtId="0" fontId="17" fillId="0" borderId="7" xfId="0" applyFont="1" applyFill="1" applyBorder="1" applyAlignment="1">
      <alignment horizontal="left" vertical="center" wrapText="1" indent="2"/>
    </xf>
    <xf numFmtId="0" fontId="0" fillId="0" borderId="0" xfId="0" applyFont="1" applyFill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Continuous" vertical="center" wrapText="1"/>
    </xf>
    <xf numFmtId="166" fontId="13" fillId="0" borderId="5" xfId="0" applyNumberFormat="1" applyFont="1" applyFill="1" applyBorder="1" applyAlignment="1">
      <alignment horizontal="centerContinuous" vertical="center" wrapText="1"/>
    </xf>
    <xf numFmtId="166" fontId="13" fillId="0" borderId="4" xfId="0" applyNumberFormat="1" applyFont="1" applyFill="1" applyBorder="1" applyAlignment="1">
      <alignment horizontal="centerContinuous" vertical="center" wrapText="1"/>
    </xf>
    <xf numFmtId="166" fontId="2" fillId="0" borderId="2" xfId="0" applyNumberFormat="1" applyFont="1" applyFill="1" applyBorder="1" applyAlignment="1">
      <alignment horizontal="center" vertical="center"/>
    </xf>
    <xf numFmtId="166" fontId="6" fillId="0" borderId="2" xfId="0" applyNumberFormat="1" applyFont="1" applyFill="1" applyBorder="1" applyAlignment="1">
      <alignment horizontal="center" vertical="center"/>
    </xf>
    <xf numFmtId="166" fontId="6" fillId="0" borderId="3" xfId="0" applyNumberFormat="1" applyFont="1" applyFill="1" applyBorder="1" applyAlignment="1">
      <alignment horizontal="center" vertical="center"/>
    </xf>
    <xf numFmtId="166" fontId="0" fillId="0" borderId="3" xfId="0" applyNumberFormat="1" applyFill="1" applyBorder="1" applyAlignment="1">
      <alignment horizontal="center" vertical="center"/>
    </xf>
    <xf numFmtId="166" fontId="5" fillId="0" borderId="3" xfId="0" applyNumberFormat="1" applyFont="1" applyFill="1" applyBorder="1" applyAlignment="1">
      <alignment horizontal="center" vertical="center"/>
    </xf>
    <xf numFmtId="170" fontId="0" fillId="0" borderId="9" xfId="1" applyNumberFormat="1" applyFont="1" applyFill="1" applyBorder="1" applyAlignment="1">
      <alignment vertical="center"/>
    </xf>
    <xf numFmtId="170" fontId="0" fillId="0" borderId="4" xfId="1" applyNumberFormat="1" applyFont="1" applyFill="1" applyBorder="1" applyAlignment="1">
      <alignment vertical="center"/>
    </xf>
    <xf numFmtId="0" fontId="14" fillId="0" borderId="9" xfId="0" applyFont="1" applyFill="1" applyBorder="1" applyAlignment="1">
      <alignment horizontal="centerContinuous" vertical="center" wrapText="1"/>
    </xf>
    <xf numFmtId="0" fontId="14" fillId="0" borderId="5" xfId="0" applyFont="1" applyFill="1" applyBorder="1" applyAlignment="1">
      <alignment horizontal="centerContinuous" vertical="center"/>
    </xf>
    <xf numFmtId="166" fontId="14" fillId="0" borderId="5" xfId="0" applyNumberFormat="1" applyFont="1" applyFill="1" applyBorder="1" applyAlignment="1">
      <alignment horizontal="centerContinuous" vertical="center"/>
    </xf>
    <xf numFmtId="166" fontId="14" fillId="0" borderId="4" xfId="0" applyNumberFormat="1" applyFont="1" applyFill="1" applyBorder="1" applyAlignment="1">
      <alignment horizontal="centerContinuous" vertical="center"/>
    </xf>
    <xf numFmtId="171" fontId="2" fillId="0" borderId="0" xfId="0" applyNumberFormat="1" applyFont="1" applyFill="1" applyBorder="1" applyAlignment="1">
      <alignment horizontal="center" vertical="center"/>
    </xf>
    <xf numFmtId="171" fontId="2" fillId="0" borderId="2" xfId="0" applyNumberFormat="1" applyFont="1" applyFill="1" applyBorder="1" applyAlignment="1">
      <alignment horizontal="center" vertical="center"/>
    </xf>
    <xf numFmtId="171" fontId="2" fillId="0" borderId="2" xfId="0" applyNumberFormat="1" applyFont="1" applyFill="1" applyBorder="1" applyAlignment="1">
      <alignment vertical="center"/>
    </xf>
    <xf numFmtId="171" fontId="6" fillId="0" borderId="0" xfId="0" applyNumberFormat="1" applyFont="1" applyFill="1" applyBorder="1" applyAlignment="1">
      <alignment horizontal="center" vertical="center"/>
    </xf>
    <xf numFmtId="171" fontId="6" fillId="0" borderId="2" xfId="0" applyNumberFormat="1" applyFont="1" applyFill="1" applyBorder="1" applyAlignment="1">
      <alignment horizontal="center" vertical="center"/>
    </xf>
    <xf numFmtId="171" fontId="6" fillId="0" borderId="2" xfId="0" applyNumberFormat="1" applyFont="1" applyFill="1" applyBorder="1" applyAlignment="1">
      <alignment vertical="center"/>
    </xf>
    <xf numFmtId="171" fontId="6" fillId="0" borderId="1" xfId="0" applyNumberFormat="1" applyFont="1" applyFill="1" applyBorder="1" applyAlignment="1">
      <alignment horizontal="center" vertical="center"/>
    </xf>
    <xf numFmtId="171" fontId="6" fillId="0" borderId="3" xfId="0" applyNumberFormat="1" applyFont="1" applyFill="1" applyBorder="1" applyAlignment="1">
      <alignment horizontal="center" vertical="center"/>
    </xf>
    <xf numFmtId="171" fontId="6" fillId="0" borderId="3" xfId="0" applyNumberFormat="1" applyFont="1" applyFill="1" applyBorder="1" applyAlignment="1">
      <alignment vertical="center"/>
    </xf>
    <xf numFmtId="171" fontId="0" fillId="0" borderId="1" xfId="0" applyNumberFormat="1" applyFill="1" applyBorder="1" applyAlignment="1">
      <alignment horizontal="center" vertical="center"/>
    </xf>
    <xf numFmtId="171" fontId="0" fillId="0" borderId="3" xfId="0" applyNumberFormat="1" applyFill="1" applyBorder="1" applyAlignment="1">
      <alignment horizontal="center" vertical="center"/>
    </xf>
    <xf numFmtId="171" fontId="0" fillId="0" borderId="3" xfId="0" applyNumberFormat="1" applyFill="1" applyBorder="1" applyAlignment="1">
      <alignment vertical="center"/>
    </xf>
    <xf numFmtId="171" fontId="17" fillId="0" borderId="2" xfId="0" applyNumberFormat="1" applyFont="1" applyFill="1" applyBorder="1" applyAlignment="1">
      <alignment vertical="center"/>
    </xf>
    <xf numFmtId="171" fontId="17" fillId="0" borderId="3" xfId="0" applyNumberFormat="1" applyFont="1" applyFill="1" applyBorder="1" applyAlignment="1">
      <alignment vertical="center"/>
    </xf>
    <xf numFmtId="171" fontId="0" fillId="0" borderId="3" xfId="0" applyNumberFormat="1" applyFont="1" applyFill="1" applyBorder="1" applyAlignment="1">
      <alignment vertical="center"/>
    </xf>
    <xf numFmtId="171" fontId="5" fillId="0" borderId="1" xfId="0" applyNumberFormat="1" applyFont="1" applyFill="1" applyBorder="1" applyAlignment="1">
      <alignment horizontal="center" vertical="center"/>
    </xf>
    <xf numFmtId="171" fontId="5" fillId="0" borderId="3" xfId="0" applyNumberFormat="1" applyFont="1" applyFill="1" applyBorder="1" applyAlignment="1">
      <alignment horizontal="center" vertical="center"/>
    </xf>
    <xf numFmtId="171" fontId="5" fillId="0" borderId="3" xfId="0" applyNumberFormat="1" applyFont="1" applyFill="1" applyBorder="1" applyAlignment="1">
      <alignment vertical="center"/>
    </xf>
    <xf numFmtId="166" fontId="14" fillId="0" borderId="3" xfId="0" applyNumberFormat="1" applyFont="1" applyFill="1" applyBorder="1" applyAlignment="1">
      <alignment vertical="center"/>
    </xf>
    <xf numFmtId="166" fontId="14" fillId="0" borderId="0" xfId="0" applyNumberFormat="1" applyFont="1" applyFill="1" applyAlignment="1">
      <alignment vertical="center"/>
    </xf>
    <xf numFmtId="166" fontId="14" fillId="0" borderId="4" xfId="0" applyNumberFormat="1" applyFont="1" applyFill="1" applyBorder="1" applyAlignment="1">
      <alignment horizontal="centerContinuous" vertical="center" wrapText="1"/>
    </xf>
    <xf numFmtId="166" fontId="14" fillId="0" borderId="2" xfId="0" applyNumberFormat="1" applyFont="1" applyFill="1" applyBorder="1" applyAlignment="1">
      <alignment vertical="center"/>
    </xf>
    <xf numFmtId="166" fontId="16" fillId="0" borderId="2" xfId="0" applyNumberFormat="1" applyFont="1" applyFill="1" applyBorder="1" applyAlignment="1">
      <alignment vertical="center"/>
    </xf>
    <xf numFmtId="166" fontId="16" fillId="0" borderId="3" xfId="0" applyNumberFormat="1" applyFont="1" applyFill="1" applyBorder="1" applyAlignment="1">
      <alignment vertical="center"/>
    </xf>
    <xf numFmtId="166" fontId="16" fillId="0" borderId="0" xfId="0" applyNumberFormat="1" applyFont="1" applyFill="1" applyAlignment="1">
      <alignment vertical="center"/>
    </xf>
    <xf numFmtId="0" fontId="0" fillId="2" borderId="7" xfId="0" applyFont="1" applyFill="1" applyBorder="1" applyAlignment="1">
      <alignment horizontal="left" vertical="center" wrapText="1"/>
    </xf>
    <xf numFmtId="166" fontId="0" fillId="2" borderId="1" xfId="0" applyNumberFormat="1" applyFont="1" applyFill="1" applyBorder="1" applyAlignment="1">
      <alignment horizontal="center" vertical="center"/>
    </xf>
    <xf numFmtId="166" fontId="0" fillId="2" borderId="3" xfId="0" applyNumberFormat="1" applyFont="1" applyFill="1" applyBorder="1" applyAlignment="1">
      <alignment horizontal="center" vertical="center"/>
    </xf>
    <xf numFmtId="166" fontId="16" fillId="2" borderId="3" xfId="0" applyNumberFormat="1" applyFont="1" applyFill="1" applyBorder="1" applyAlignment="1">
      <alignment vertical="center"/>
    </xf>
    <xf numFmtId="171" fontId="0" fillId="2" borderId="1" xfId="0" applyNumberFormat="1" applyFont="1" applyFill="1" applyBorder="1" applyAlignment="1">
      <alignment horizontal="center" vertical="center"/>
    </xf>
    <xf numFmtId="171" fontId="0" fillId="2" borderId="3" xfId="0" applyNumberFormat="1" applyFont="1" applyFill="1" applyBorder="1" applyAlignment="1">
      <alignment horizontal="center" vertical="center"/>
    </xf>
    <xf numFmtId="170" fontId="9" fillId="2" borderId="1" xfId="1" applyNumberFormat="1" applyFont="1" applyFill="1" applyBorder="1" applyAlignment="1">
      <alignment vertical="center"/>
    </xf>
    <xf numFmtId="170" fontId="9" fillId="2" borderId="3" xfId="1" applyNumberFormat="1" applyFont="1" applyFill="1" applyBorder="1" applyAlignment="1">
      <alignment vertical="center"/>
    </xf>
    <xf numFmtId="166" fontId="0" fillId="2" borderId="0" xfId="0" applyNumberFormat="1" applyFill="1" applyBorder="1" applyAlignment="1">
      <alignment horizontal="center" vertical="center"/>
    </xf>
    <xf numFmtId="166" fontId="0" fillId="2" borderId="2" xfId="0" applyNumberForma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166" fontId="0" fillId="2" borderId="3" xfId="0" applyNumberFormat="1" applyFill="1" applyBorder="1" applyAlignment="1">
      <alignment horizontal="center" vertical="center"/>
    </xf>
    <xf numFmtId="166" fontId="16" fillId="2" borderId="2" xfId="0" applyNumberFormat="1" applyFont="1" applyFill="1" applyBorder="1" applyAlignment="1">
      <alignment vertical="center"/>
    </xf>
    <xf numFmtId="171" fontId="0" fillId="2" borderId="0" xfId="0" applyNumberFormat="1" applyFill="1" applyBorder="1" applyAlignment="1">
      <alignment horizontal="center" vertical="center"/>
    </xf>
    <xf numFmtId="171" fontId="0" fillId="2" borderId="2" xfId="0" applyNumberFormat="1" applyFill="1" applyBorder="1" applyAlignment="1">
      <alignment horizontal="center" vertical="center"/>
    </xf>
    <xf numFmtId="171" fontId="0" fillId="2" borderId="1" xfId="0" applyNumberFormat="1" applyFill="1" applyBorder="1" applyAlignment="1">
      <alignment horizontal="center" vertical="center"/>
    </xf>
    <xf numFmtId="171" fontId="0" fillId="2" borderId="3" xfId="0" applyNumberFormat="1" applyFill="1" applyBorder="1" applyAlignment="1">
      <alignment horizontal="center" vertical="center"/>
    </xf>
    <xf numFmtId="170" fontId="9" fillId="2" borderId="10" xfId="1" applyNumberFormat="1" applyFont="1" applyFill="1" applyBorder="1" applyAlignment="1">
      <alignment vertical="center"/>
    </xf>
    <xf numFmtId="170" fontId="9" fillId="2" borderId="2" xfId="1" applyNumberFormat="1" applyFont="1" applyFill="1" applyBorder="1" applyAlignment="1">
      <alignment vertical="center"/>
    </xf>
    <xf numFmtId="170" fontId="9" fillId="2" borderId="11" xfId="1" applyNumberFormat="1" applyFont="1" applyFill="1" applyBorder="1" applyAlignment="1">
      <alignment vertical="center"/>
    </xf>
    <xf numFmtId="0" fontId="0" fillId="2" borderId="7" xfId="0" applyFill="1" applyBorder="1" applyAlignment="1">
      <alignment vertical="center" wrapText="1"/>
    </xf>
    <xf numFmtId="0" fontId="0" fillId="2" borderId="3" xfId="0" applyFill="1" applyBorder="1" applyAlignment="1">
      <alignment horizontal="center" vertical="center"/>
    </xf>
    <xf numFmtId="166" fontId="0" fillId="2" borderId="1" xfId="0" applyNumberFormat="1" applyFill="1" applyBorder="1" applyAlignment="1">
      <alignment vertical="center"/>
    </xf>
    <xf numFmtId="166" fontId="0" fillId="2" borderId="3" xfId="0" applyNumberFormat="1" applyFill="1" applyBorder="1" applyAlignment="1">
      <alignment vertical="center"/>
    </xf>
    <xf numFmtId="166" fontId="0" fillId="2" borderId="1" xfId="0" applyNumberFormat="1" applyFont="1" applyFill="1" applyBorder="1" applyAlignment="1">
      <alignment vertical="center"/>
    </xf>
    <xf numFmtId="171" fontId="0" fillId="2" borderId="3" xfId="0" applyNumberFormat="1" applyFill="1" applyBorder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3" fontId="10" fillId="0" borderId="6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166" fontId="10" fillId="0" borderId="2" xfId="0" applyNumberFormat="1" applyFont="1" applyFill="1" applyBorder="1" applyAlignment="1">
      <alignment horizontal="center" vertical="center"/>
    </xf>
    <xf numFmtId="166" fontId="5" fillId="0" borderId="8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 wrapText="1"/>
    </xf>
    <xf numFmtId="166" fontId="5" fillId="0" borderId="4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4" fontId="2" fillId="0" borderId="0" xfId="0" applyNumberFormat="1" applyFont="1" applyFill="1" applyAlignment="1"/>
    <xf numFmtId="4" fontId="2" fillId="0" borderId="0" xfId="0" applyNumberFormat="1" applyFont="1" applyFill="1"/>
    <xf numFmtId="0" fontId="0" fillId="0" borderId="0" xfId="0" applyFill="1"/>
    <xf numFmtId="0" fontId="0" fillId="0" borderId="0" xfId="0" applyFill="1" applyAlignment="1">
      <alignment horizontal="center"/>
    </xf>
    <xf numFmtId="4" fontId="0" fillId="0" borderId="0" xfId="0" applyNumberFormat="1" applyFill="1" applyAlignment="1"/>
    <xf numFmtId="4" fontId="0" fillId="0" borderId="0" xfId="0" applyNumberFormat="1" applyFill="1"/>
    <xf numFmtId="168" fontId="0" fillId="0" borderId="0" xfId="0" applyNumberFormat="1" applyFill="1"/>
    <xf numFmtId="0" fontId="0" fillId="0" borderId="0" xfId="0" applyFill="1" applyAlignment="1"/>
    <xf numFmtId="0" fontId="2" fillId="0" borderId="5" xfId="0" applyFont="1" applyFill="1" applyBorder="1"/>
    <xf numFmtId="0" fontId="2" fillId="0" borderId="5" xfId="0" applyFont="1" applyFill="1" applyBorder="1" applyAlignment="1">
      <alignment horizontal="center"/>
    </xf>
    <xf numFmtId="4" fontId="2" fillId="0" borderId="5" xfId="0" applyNumberFormat="1" applyFont="1" applyFill="1" applyBorder="1" applyAlignment="1"/>
    <xf numFmtId="4" fontId="2" fillId="0" borderId="5" xfId="0" applyNumberFormat="1" applyFont="1" applyFill="1" applyBorder="1" applyAlignment="1">
      <alignment horizontal="center"/>
    </xf>
    <xf numFmtId="3" fontId="1" fillId="0" borderId="0" xfId="0" applyNumberFormat="1" applyFont="1" applyFill="1"/>
    <xf numFmtId="3" fontId="0" fillId="0" borderId="0" xfId="0" applyNumberFormat="1" applyFill="1"/>
    <xf numFmtId="10" fontId="0" fillId="0" borderId="0" xfId="0" applyNumberFormat="1" applyFill="1"/>
    <xf numFmtId="9" fontId="0" fillId="0" borderId="0" xfId="0" applyNumberFormat="1" applyFill="1"/>
    <xf numFmtId="0" fontId="2" fillId="0" borderId="0" xfId="0" applyFont="1" applyFill="1" applyBorder="1" applyAlignment="1">
      <alignment horizontal="center"/>
    </xf>
    <xf numFmtId="10" fontId="2" fillId="0" borderId="0" xfId="0" applyNumberFormat="1" applyFont="1" applyFill="1"/>
    <xf numFmtId="0" fontId="2" fillId="2" borderId="5" xfId="0" applyFont="1" applyFill="1" applyBorder="1" applyAlignment="1">
      <alignment horizontal="center"/>
    </xf>
    <xf numFmtId="4" fontId="0" fillId="2" borderId="0" xfId="0" applyNumberFormat="1" applyFill="1"/>
    <xf numFmtId="4" fontId="2" fillId="2" borderId="5" xfId="0" applyNumberFormat="1" applyFont="1" applyFill="1" applyBorder="1" applyAlignment="1"/>
    <xf numFmtId="9" fontId="2" fillId="0" borderId="0" xfId="0" applyNumberFormat="1" applyFont="1" applyFill="1"/>
    <xf numFmtId="0" fontId="2" fillId="0" borderId="2" xfId="0" applyFont="1" applyFill="1" applyBorder="1"/>
    <xf numFmtId="0" fontId="2" fillId="0" borderId="4" xfId="0" applyFont="1" applyFill="1" applyBorder="1" applyAlignment="1">
      <alignment horizontal="center"/>
    </xf>
    <xf numFmtId="4" fontId="0" fillId="0" borderId="2" xfId="0" applyNumberFormat="1" applyFill="1" applyBorder="1"/>
    <xf numFmtId="0" fontId="0" fillId="0" borderId="2" xfId="0" applyFill="1" applyBorder="1"/>
    <xf numFmtId="10" fontId="2" fillId="0" borderId="10" xfId="0" applyNumberFormat="1" applyFont="1" applyFill="1" applyBorder="1"/>
    <xf numFmtId="0" fontId="2" fillId="2" borderId="9" xfId="0" applyFont="1" applyFill="1" applyBorder="1" applyAlignment="1">
      <alignment horizontal="center"/>
    </xf>
    <xf numFmtId="4" fontId="0" fillId="2" borderId="10" xfId="0" applyNumberFormat="1" applyFill="1" applyBorder="1"/>
    <xf numFmtId="0" fontId="0" fillId="0" borderId="10" xfId="0" applyFill="1" applyBorder="1"/>
    <xf numFmtId="0" fontId="2" fillId="0" borderId="10" xfId="0" applyFont="1" applyFill="1" applyBorder="1" applyAlignment="1">
      <alignment horizontal="centerContinuous"/>
    </xf>
    <xf numFmtId="0" fontId="2" fillId="0" borderId="0" xfId="0" applyFont="1" applyFill="1" applyAlignment="1">
      <alignment horizontal="centerContinuous"/>
    </xf>
    <xf numFmtId="4" fontId="2" fillId="0" borderId="0" xfId="0" applyNumberFormat="1" applyFont="1" applyFill="1" applyAlignment="1">
      <alignment horizontal="centerContinuous"/>
    </xf>
    <xf numFmtId="0" fontId="2" fillId="0" borderId="2" xfId="0" applyFont="1" applyFill="1" applyBorder="1" applyAlignment="1">
      <alignment horizontal="centerContinuous"/>
    </xf>
    <xf numFmtId="166" fontId="0" fillId="0" borderId="0" xfId="0" applyNumberFormat="1"/>
    <xf numFmtId="166" fontId="2" fillId="0" borderId="2" xfId="0" applyNumberFormat="1" applyFont="1" applyBorder="1"/>
    <xf numFmtId="166" fontId="0" fillId="0" borderId="3" xfId="0" applyNumberFormat="1" applyBorder="1"/>
    <xf numFmtId="0" fontId="2" fillId="2" borderId="3" xfId="0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centerContinuous"/>
    </xf>
    <xf numFmtId="4" fontId="2" fillId="2" borderId="1" xfId="0" applyNumberFormat="1" applyFont="1" applyFill="1" applyBorder="1" applyAlignment="1">
      <alignment horizontal="centerContinuous"/>
    </xf>
    <xf numFmtId="166" fontId="2" fillId="2" borderId="3" xfId="0" applyNumberFormat="1" applyFont="1" applyFill="1" applyBorder="1" applyAlignment="1">
      <alignment horizontal="centerContinuous"/>
    </xf>
    <xf numFmtId="169" fontId="2" fillId="0" borderId="0" xfId="1" applyNumberFormat="1" applyFont="1" applyFill="1"/>
    <xf numFmtId="4" fontId="0" fillId="0" borderId="0" xfId="0" applyNumberFormat="1" applyFont="1" applyFill="1" applyBorder="1"/>
    <xf numFmtId="4" fontId="2" fillId="0" borderId="0" xfId="0" applyNumberFormat="1" applyFont="1"/>
    <xf numFmtId="3" fontId="0" fillId="0" borderId="2" xfId="0" applyNumberFormat="1" applyBorder="1"/>
    <xf numFmtId="3" fontId="2" fillId="0" borderId="2" xfId="0" applyNumberFormat="1" applyFont="1" applyBorder="1"/>
    <xf numFmtId="3" fontId="0" fillId="0" borderId="3" xfId="0" applyNumberFormat="1" applyBorder="1"/>
    <xf numFmtId="176" fontId="0" fillId="0" borderId="0" xfId="0" applyNumberFormat="1" applyBorder="1"/>
    <xf numFmtId="172" fontId="0" fillId="0" borderId="0" xfId="0" applyNumberFormat="1" applyBorder="1"/>
    <xf numFmtId="2" fontId="0" fillId="0" borderId="0" xfId="0" applyNumberFormat="1" applyBorder="1"/>
    <xf numFmtId="4" fontId="2" fillId="0" borderId="5" xfId="0" applyNumberFormat="1" applyFont="1" applyBorder="1"/>
    <xf numFmtId="173" fontId="2" fillId="0" borderId="4" xfId="0" applyNumberFormat="1" applyFont="1" applyBorder="1"/>
    <xf numFmtId="166" fontId="2" fillId="0" borderId="4" xfId="0" applyNumberFormat="1" applyFont="1" applyBorder="1"/>
    <xf numFmtId="0" fontId="2" fillId="2" borderId="2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centerContinuous"/>
    </xf>
    <xf numFmtId="4" fontId="2" fillId="2" borderId="0" xfId="0" applyNumberFormat="1" applyFont="1" applyFill="1" applyBorder="1" applyAlignment="1">
      <alignment horizontal="centerContinuous"/>
    </xf>
    <xf numFmtId="166" fontId="2" fillId="2" borderId="2" xfId="0" applyNumberFormat="1" applyFont="1" applyFill="1" applyBorder="1" applyAlignment="1">
      <alignment horizontal="centerContinuous"/>
    </xf>
    <xf numFmtId="0" fontId="0" fillId="0" borderId="0" xfId="0" applyFill="1" applyBorder="1"/>
    <xf numFmtId="166" fontId="0" fillId="0" borderId="0" xfId="0" applyNumberFormat="1" applyFont="1" applyBorder="1"/>
    <xf numFmtId="165" fontId="0" fillId="0" borderId="0" xfId="0" applyNumberFormat="1" applyBorder="1"/>
    <xf numFmtId="166" fontId="0" fillId="0" borderId="0" xfId="0" applyNumberFormat="1" applyBorder="1"/>
    <xf numFmtId="168" fontId="0" fillId="0" borderId="2" xfId="0" applyNumberFormat="1" applyFont="1" applyBorder="1"/>
    <xf numFmtId="168" fontId="2" fillId="0" borderId="4" xfId="0" applyNumberFormat="1" applyFont="1" applyBorder="1"/>
    <xf numFmtId="0" fontId="0" fillId="0" borderId="0" xfId="0" applyBorder="1" applyAlignment="1">
      <alignment horizontal="center"/>
    </xf>
    <xf numFmtId="166" fontId="10" fillId="0" borderId="10" xfId="2" applyNumberFormat="1" applyFont="1" applyBorder="1" applyAlignment="1">
      <alignment vertical="center"/>
    </xf>
    <xf numFmtId="0" fontId="12" fillId="0" borderId="10" xfId="0" applyFont="1" applyBorder="1" applyAlignment="1">
      <alignment horizontal="center" vertical="center" wrapText="1"/>
    </xf>
    <xf numFmtId="166" fontId="10" fillId="0" borderId="10" xfId="0" applyNumberFormat="1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166" fontId="10" fillId="0" borderId="6" xfId="2" applyNumberFormat="1" applyFont="1" applyBorder="1" applyAlignme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/>
    </xf>
    <xf numFmtId="166" fontId="0" fillId="0" borderId="2" xfId="0" applyNumberFormat="1" applyFont="1" applyFill="1" applyBorder="1"/>
    <xf numFmtId="0" fontId="2" fillId="0" borderId="16" xfId="0" applyFont="1" applyBorder="1" applyAlignment="1">
      <alignment horizontal="centerContinuous" vertical="center" wrapText="1"/>
    </xf>
    <xf numFmtId="0" fontId="2" fillId="0" borderId="17" xfId="0" applyFont="1" applyBorder="1" applyAlignment="1">
      <alignment horizontal="centerContinuous" vertical="center" wrapText="1"/>
    </xf>
    <xf numFmtId="0" fontId="2" fillId="0" borderId="18" xfId="0" applyFont="1" applyBorder="1" applyAlignment="1">
      <alignment horizontal="centerContinuous" vertical="center" wrapText="1"/>
    </xf>
    <xf numFmtId="4" fontId="2" fillId="0" borderId="18" xfId="0" applyNumberFormat="1" applyFont="1" applyBorder="1" applyAlignment="1">
      <alignment horizontal="centerContinuous" vertical="center" wrapText="1"/>
    </xf>
    <xf numFmtId="166" fontId="2" fillId="0" borderId="17" xfId="0" applyNumberFormat="1" applyFont="1" applyBorder="1" applyAlignment="1">
      <alignment horizontal="centerContinuous" vertical="center" wrapText="1"/>
    </xf>
    <xf numFmtId="0" fontId="2" fillId="2" borderId="19" xfId="0" applyFont="1" applyFill="1" applyBorder="1" applyAlignment="1">
      <alignment horizontal="centerContinuous"/>
    </xf>
    <xf numFmtId="0" fontId="0" fillId="0" borderId="20" xfId="0" applyBorder="1" applyAlignment="1">
      <alignment horizontal="center"/>
    </xf>
    <xf numFmtId="0" fontId="2" fillId="0" borderId="21" xfId="0" applyFont="1" applyBorder="1"/>
    <xf numFmtId="0" fontId="2" fillId="2" borderId="22" xfId="0" applyFont="1" applyFill="1" applyBorder="1" applyAlignment="1">
      <alignment horizontal="centerContinuous"/>
    </xf>
    <xf numFmtId="0" fontId="2" fillId="2" borderId="23" xfId="0" applyFont="1" applyFill="1" applyBorder="1" applyAlignment="1">
      <alignment horizontal="centerContinuous"/>
    </xf>
    <xf numFmtId="0" fontId="2" fillId="2" borderId="24" xfId="0" applyFont="1" applyFill="1" applyBorder="1" applyAlignment="1">
      <alignment horizontal="centerContinuous"/>
    </xf>
    <xf numFmtId="4" fontId="2" fillId="2" borderId="24" xfId="0" applyNumberFormat="1" applyFont="1" applyFill="1" applyBorder="1" applyAlignment="1">
      <alignment horizontal="centerContinuous"/>
    </xf>
    <xf numFmtId="166" fontId="2" fillId="2" borderId="23" xfId="0" applyNumberFormat="1" applyFont="1" applyFill="1" applyBorder="1" applyAlignment="1">
      <alignment horizontal="centerContinuous"/>
    </xf>
    <xf numFmtId="0" fontId="2" fillId="2" borderId="20" xfId="0" applyFont="1" applyFill="1" applyBorder="1" applyAlignment="1">
      <alignment horizontal="centerContinuous"/>
    </xf>
    <xf numFmtId="0" fontId="2" fillId="0" borderId="20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20" xfId="0" applyBorder="1"/>
    <xf numFmtId="0" fontId="0" fillId="0" borderId="19" xfId="0" applyBorder="1"/>
    <xf numFmtId="0" fontId="2" fillId="0" borderId="19" xfId="0" applyFont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4" fontId="2" fillId="2" borderId="18" xfId="0" applyNumberFormat="1" applyFont="1" applyFill="1" applyBorder="1"/>
    <xf numFmtId="166" fontId="2" fillId="2" borderId="17" xfId="0" applyNumberFormat="1" applyFont="1" applyFill="1" applyBorder="1"/>
    <xf numFmtId="166" fontId="10" fillId="0" borderId="0" xfId="0" applyNumberFormat="1" applyFont="1" applyBorder="1" applyAlignment="1">
      <alignment vertical="center" wrapText="1"/>
    </xf>
    <xf numFmtId="166" fontId="10" fillId="0" borderId="0" xfId="0" applyNumberFormat="1" applyFont="1" applyBorder="1" applyAlignment="1">
      <alignment vertical="center"/>
    </xf>
    <xf numFmtId="166" fontId="10" fillId="0" borderId="0" xfId="2" applyNumberFormat="1" applyFont="1" applyBorder="1" applyAlignment="1">
      <alignment vertical="center"/>
    </xf>
    <xf numFmtId="0" fontId="12" fillId="0" borderId="0" xfId="0" applyFont="1" applyBorder="1" applyAlignment="1">
      <alignment horizontal="center" vertical="center" wrapText="1"/>
    </xf>
    <xf numFmtId="4" fontId="12" fillId="0" borderId="0" xfId="0" applyNumberFormat="1" applyFont="1" applyBorder="1" applyAlignment="1">
      <alignment horizontal="center" vertical="center" wrapText="1"/>
    </xf>
    <xf numFmtId="166" fontId="12" fillId="0" borderId="0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Continuous" vertical="center" wrapText="1"/>
    </xf>
    <xf numFmtId="0" fontId="10" fillId="0" borderId="1" xfId="0" applyFont="1" applyBorder="1" applyAlignment="1">
      <alignment horizontal="centerContinuous" vertical="center"/>
    </xf>
    <xf numFmtId="166" fontId="10" fillId="0" borderId="1" xfId="0" applyNumberFormat="1" applyFont="1" applyBorder="1" applyAlignment="1">
      <alignment vertical="center"/>
    </xf>
    <xf numFmtId="166" fontId="10" fillId="0" borderId="7" xfId="0" applyNumberFormat="1" applyFont="1" applyBorder="1" applyAlignment="1">
      <alignment vertical="center"/>
    </xf>
    <xf numFmtId="166" fontId="10" fillId="0" borderId="1" xfId="0" applyNumberFormat="1" applyFont="1" applyFill="1" applyBorder="1" applyAlignment="1">
      <alignment vertical="center"/>
    </xf>
    <xf numFmtId="166" fontId="10" fillId="0" borderId="11" xfId="0" applyNumberFormat="1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166" fontId="10" fillId="0" borderId="1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/>
    </xf>
    <xf numFmtId="166" fontId="11" fillId="0" borderId="5" xfId="0" applyNumberFormat="1" applyFont="1" applyBorder="1" applyAlignment="1">
      <alignment vertical="center"/>
    </xf>
    <xf numFmtId="166" fontId="11" fillId="0" borderId="8" xfId="0" applyNumberFormat="1" applyFont="1" applyBorder="1" applyAlignment="1">
      <alignment vertical="center"/>
    </xf>
    <xf numFmtId="166" fontId="11" fillId="0" borderId="9" xfId="0" applyNumberFormat="1" applyFont="1" applyBorder="1" applyAlignment="1">
      <alignment vertical="center"/>
    </xf>
    <xf numFmtId="4" fontId="12" fillId="0" borderId="10" xfId="0" applyNumberFormat="1" applyFont="1" applyBorder="1" applyAlignment="1">
      <alignment horizontal="center" vertical="center" wrapText="1"/>
    </xf>
    <xf numFmtId="4" fontId="10" fillId="0" borderId="10" xfId="0" applyNumberFormat="1" applyFont="1" applyBorder="1" applyAlignment="1">
      <alignment vertical="center"/>
    </xf>
    <xf numFmtId="0" fontId="10" fillId="0" borderId="8" xfId="0" applyFont="1" applyFill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2" fillId="0" borderId="0" xfId="0" applyFont="1" applyFill="1" applyBorder="1" applyAlignment="1">
      <alignment horizontal="centerContinuous"/>
    </xf>
    <xf numFmtId="10" fontId="2" fillId="0" borderId="0" xfId="0" applyNumberFormat="1" applyFont="1" applyFill="1" applyBorder="1"/>
    <xf numFmtId="4" fontId="0" fillId="2" borderId="0" xfId="0" applyNumberFormat="1" applyFill="1" applyBorder="1"/>
    <xf numFmtId="9" fontId="1" fillId="0" borderId="0" xfId="1" applyFont="1" applyBorder="1"/>
    <xf numFmtId="9" fontId="1" fillId="0" borderId="20" xfId="1" applyFont="1" applyBorder="1"/>
    <xf numFmtId="9" fontId="1" fillId="0" borderId="0" xfId="1" applyFont="1"/>
    <xf numFmtId="175" fontId="1" fillId="0" borderId="0" xfId="1" applyNumberFormat="1" applyFont="1" applyBorder="1"/>
    <xf numFmtId="4" fontId="18" fillId="0" borderId="5" xfId="0" applyNumberFormat="1" applyFont="1" applyFill="1" applyBorder="1" applyAlignment="1"/>
    <xf numFmtId="4" fontId="18" fillId="0" borderId="9" xfId="0" applyNumberFormat="1" applyFont="1" applyFill="1" applyBorder="1" applyAlignment="1"/>
    <xf numFmtId="4" fontId="18" fillId="0" borderId="4" xfId="0" applyNumberFormat="1" applyFont="1" applyFill="1" applyBorder="1" applyAlignment="1"/>
    <xf numFmtId="0" fontId="19" fillId="2" borderId="10" xfId="0" applyFont="1" applyFill="1" applyBorder="1"/>
    <xf numFmtId="0" fontId="19" fillId="2" borderId="0" xfId="0" applyFont="1" applyFill="1" applyBorder="1"/>
    <xf numFmtId="0" fontId="19" fillId="2" borderId="0" xfId="0" applyFont="1" applyFill="1"/>
    <xf numFmtId="4" fontId="19" fillId="0" borderId="0" xfId="0" applyNumberFormat="1" applyFont="1" applyFill="1" applyAlignment="1"/>
    <xf numFmtId="0" fontId="19" fillId="0" borderId="2" xfId="0" applyFont="1" applyFill="1" applyBorder="1"/>
    <xf numFmtId="166" fontId="18" fillId="0" borderId="3" xfId="0" applyNumberFormat="1" applyFont="1" applyBorder="1"/>
    <xf numFmtId="4" fontId="19" fillId="0" borderId="0" xfId="0" applyNumberFormat="1" applyFont="1" applyBorder="1"/>
    <xf numFmtId="4" fontId="2" fillId="0" borderId="4" xfId="0" applyNumberFormat="1" applyFont="1" applyBorder="1"/>
    <xf numFmtId="169" fontId="1" fillId="0" borderId="0" xfId="1" applyNumberFormat="1" applyFont="1" applyBorder="1"/>
    <xf numFmtId="4" fontId="2" fillId="0" borderId="15" xfId="0" applyNumberFormat="1" applyFont="1" applyBorder="1" applyAlignment="1">
      <alignment horizontal="centerContinuous"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166" fontId="2" fillId="0" borderId="13" xfId="0" applyNumberFormat="1" applyFont="1" applyBorder="1" applyAlignment="1">
      <alignment horizontal="centerContinuous" vertical="center"/>
    </xf>
    <xf numFmtId="4" fontId="2" fillId="0" borderId="14" xfId="0" applyNumberFormat="1" applyFont="1" applyBorder="1" applyAlignment="1">
      <alignment horizontal="centerContinuous" vertical="center" wrapText="1"/>
    </xf>
    <xf numFmtId="166" fontId="2" fillId="0" borderId="13" xfId="0" applyNumberFormat="1" applyFont="1" applyBorder="1" applyAlignment="1">
      <alignment horizontal="centerContinuous" vertical="center" wrapText="1"/>
    </xf>
    <xf numFmtId="4" fontId="2" fillId="0" borderId="14" xfId="0" applyNumberFormat="1" applyFont="1" applyBorder="1" applyAlignment="1">
      <alignment horizontal="centerContinuous" vertical="center"/>
    </xf>
    <xf numFmtId="0" fontId="2" fillId="0" borderId="0" xfId="0" applyFont="1" applyAlignment="1">
      <alignment vertical="center"/>
    </xf>
    <xf numFmtId="0" fontId="2" fillId="2" borderId="19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centerContinuous" vertical="center"/>
    </xf>
    <xf numFmtId="0" fontId="2" fillId="2" borderId="1" xfId="0" applyFont="1" applyFill="1" applyBorder="1" applyAlignment="1">
      <alignment horizontal="centerContinuous" vertical="center"/>
    </xf>
    <xf numFmtId="4" fontId="2" fillId="2" borderId="1" xfId="0" applyNumberFormat="1" applyFont="1" applyFill="1" applyBorder="1" applyAlignment="1">
      <alignment horizontal="centerContinuous" vertical="center"/>
    </xf>
    <xf numFmtId="166" fontId="2" fillId="2" borderId="3" xfId="0" applyNumberFormat="1" applyFont="1" applyFill="1" applyBorder="1" applyAlignment="1">
      <alignment horizontal="centerContinuous" vertical="center"/>
    </xf>
    <xf numFmtId="0" fontId="0" fillId="0" borderId="20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167" fontId="0" fillId="0" borderId="0" xfId="0" applyNumberFormat="1" applyBorder="1" applyAlignment="1">
      <alignment vertical="center"/>
    </xf>
    <xf numFmtId="4" fontId="0" fillId="0" borderId="0" xfId="0" applyNumberFormat="1" applyBorder="1" applyAlignment="1">
      <alignment vertical="center"/>
    </xf>
    <xf numFmtId="9" fontId="1" fillId="0" borderId="0" xfId="1" applyFont="1" applyBorder="1" applyAlignment="1">
      <alignment vertical="center"/>
    </xf>
    <xf numFmtId="3" fontId="0" fillId="0" borderId="2" xfId="0" applyNumberFormat="1" applyBorder="1" applyAlignment="1">
      <alignment vertical="center"/>
    </xf>
    <xf numFmtId="166" fontId="0" fillId="0" borderId="2" xfId="0" applyNumberFormat="1" applyFont="1" applyBorder="1" applyAlignment="1">
      <alignment vertical="center"/>
    </xf>
    <xf numFmtId="3" fontId="0" fillId="0" borderId="0" xfId="0" applyNumberFormat="1" applyBorder="1" applyAlignment="1">
      <alignment vertical="center"/>
    </xf>
    <xf numFmtId="4" fontId="0" fillId="0" borderId="2" xfId="0" applyNumberFormat="1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 applyFont="1" applyFill="1" applyBorder="1" applyAlignment="1">
      <alignment vertical="center"/>
    </xf>
    <xf numFmtId="176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166" fontId="0" fillId="0" borderId="2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173" fontId="2" fillId="0" borderId="4" xfId="0" applyNumberFormat="1" applyFont="1" applyBorder="1" applyAlignment="1">
      <alignment vertical="center"/>
    </xf>
    <xf numFmtId="166" fontId="2" fillId="0" borderId="4" xfId="0" applyNumberFormat="1" applyFont="1" applyBorder="1" applyAlignment="1">
      <alignment vertical="center"/>
    </xf>
    <xf numFmtId="0" fontId="2" fillId="2" borderId="22" xfId="0" applyFont="1" applyFill="1" applyBorder="1" applyAlignment="1">
      <alignment horizontal="centerContinuous" vertical="center"/>
    </xf>
    <xf numFmtId="0" fontId="2" fillId="2" borderId="23" xfId="0" applyFont="1" applyFill="1" applyBorder="1" applyAlignment="1">
      <alignment horizontal="centerContinuous" vertical="center"/>
    </xf>
    <xf numFmtId="0" fontId="2" fillId="2" borderId="24" xfId="0" applyFont="1" applyFill="1" applyBorder="1" applyAlignment="1">
      <alignment horizontal="centerContinuous" vertical="center"/>
    </xf>
    <xf numFmtId="4" fontId="2" fillId="2" borderId="24" xfId="0" applyNumberFormat="1" applyFont="1" applyFill="1" applyBorder="1" applyAlignment="1">
      <alignment horizontal="centerContinuous" vertical="center"/>
    </xf>
    <xf numFmtId="166" fontId="2" fillId="2" borderId="23" xfId="0" applyNumberFormat="1" applyFont="1" applyFill="1" applyBorder="1" applyAlignment="1">
      <alignment horizontal="centerContinuous" vertical="center"/>
    </xf>
    <xf numFmtId="0" fontId="2" fillId="2" borderId="20" xfId="0" applyFont="1" applyFill="1" applyBorder="1" applyAlignment="1">
      <alignment horizontal="centerContinuous" vertical="center"/>
    </xf>
    <xf numFmtId="0" fontId="2" fillId="2" borderId="2" xfId="0" applyFont="1" applyFill="1" applyBorder="1" applyAlignment="1">
      <alignment horizontal="centerContinuous" vertical="center"/>
    </xf>
    <xf numFmtId="0" fontId="2" fillId="2" borderId="0" xfId="0" applyFont="1" applyFill="1" applyBorder="1" applyAlignment="1">
      <alignment horizontal="centerContinuous" vertical="center"/>
    </xf>
    <xf numFmtId="4" fontId="2" fillId="2" borderId="0" xfId="0" applyNumberFormat="1" applyFont="1" applyFill="1" applyBorder="1" applyAlignment="1">
      <alignment horizontal="centerContinuous" vertical="center"/>
    </xf>
    <xf numFmtId="166" fontId="2" fillId="2" borderId="2" xfId="0" applyNumberFormat="1" applyFont="1" applyFill="1" applyBorder="1" applyAlignment="1">
      <alignment horizontal="centerContinuous" vertical="center"/>
    </xf>
    <xf numFmtId="0" fontId="2" fillId="0" borderId="20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166" fontId="2" fillId="0" borderId="2" xfId="0" applyNumberFormat="1" applyFont="1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0" fillId="0" borderId="3" xfId="0" applyNumberFormat="1" applyBorder="1" applyAlignment="1">
      <alignment vertical="center"/>
    </xf>
    <xf numFmtId="4" fontId="0" fillId="0" borderId="1" xfId="0" applyNumberFormat="1" applyBorder="1" applyAlignment="1">
      <alignment vertical="center"/>
    </xf>
    <xf numFmtId="166" fontId="0" fillId="0" borderId="3" xfId="0" applyNumberFormat="1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166" fontId="2" fillId="0" borderId="3" xfId="0" applyNumberFormat="1" applyFont="1" applyBorder="1" applyAlignment="1">
      <alignment vertical="center"/>
    </xf>
    <xf numFmtId="0" fontId="0" fillId="0" borderId="20" xfId="0" applyFon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4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166" fontId="0" fillId="0" borderId="2" xfId="0" applyNumberFormat="1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20" xfId="0" applyBorder="1" applyAlignment="1">
      <alignment vertical="center"/>
    </xf>
    <xf numFmtId="0" fontId="0" fillId="0" borderId="0" xfId="0" applyFill="1" applyBorder="1" applyAlignment="1">
      <alignment vertical="center"/>
    </xf>
    <xf numFmtId="172" fontId="0" fillId="0" borderId="0" xfId="0" applyNumberFormat="1" applyBorder="1" applyAlignment="1">
      <alignment vertical="center"/>
    </xf>
    <xf numFmtId="2" fontId="0" fillId="0" borderId="0" xfId="0" applyNumberFormat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0" fillId="0" borderId="19" xfId="0" applyBorder="1" applyAlignment="1">
      <alignment vertical="center"/>
    </xf>
    <xf numFmtId="166" fontId="0" fillId="0" borderId="3" xfId="0" applyNumberFormat="1" applyBorder="1" applyAlignment="1">
      <alignment vertical="center"/>
    </xf>
    <xf numFmtId="0" fontId="2" fillId="0" borderId="19" xfId="0" applyFont="1" applyBorder="1" applyAlignment="1">
      <alignment vertical="center"/>
    </xf>
    <xf numFmtId="9" fontId="1" fillId="0" borderId="20" xfId="1" applyFont="1" applyBorder="1" applyAlignment="1">
      <alignment vertical="center"/>
    </xf>
    <xf numFmtId="9" fontId="1" fillId="0" borderId="0" xfId="1" applyFont="1" applyAlignment="1">
      <alignment vertical="center"/>
    </xf>
    <xf numFmtId="0" fontId="0" fillId="0" borderId="2" xfId="0" applyFill="1" applyBorder="1" applyAlignment="1">
      <alignment vertical="center"/>
    </xf>
    <xf numFmtId="168" fontId="0" fillId="0" borderId="2" xfId="0" applyNumberFormat="1" applyFont="1" applyBorder="1" applyAlignment="1">
      <alignment vertical="center"/>
    </xf>
    <xf numFmtId="168" fontId="2" fillId="0" borderId="4" xfId="0" applyNumberFormat="1" applyFont="1" applyBorder="1" applyAlignment="1">
      <alignment vertical="center"/>
    </xf>
    <xf numFmtId="165" fontId="0" fillId="0" borderId="0" xfId="0" applyNumberFormat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4" fontId="2" fillId="2" borderId="18" xfId="0" applyNumberFormat="1" applyFont="1" applyFill="1" applyBorder="1" applyAlignment="1">
      <alignment vertical="center"/>
    </xf>
    <xf numFmtId="166" fontId="2" fillId="2" borderId="17" xfId="0" applyNumberFormat="1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175" fontId="1" fillId="0" borderId="0" xfId="1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166" fontId="0" fillId="0" borderId="0" xfId="0" applyNumberFormat="1" applyAlignment="1">
      <alignment vertical="center"/>
    </xf>
    <xf numFmtId="4" fontId="2" fillId="0" borderId="13" xfId="0" applyNumberFormat="1" applyFont="1" applyBorder="1" applyAlignment="1">
      <alignment horizontal="centerContinuous" vertical="center"/>
    </xf>
    <xf numFmtId="4" fontId="2" fillId="0" borderId="17" xfId="0" applyNumberFormat="1" applyFont="1" applyBorder="1" applyAlignment="1">
      <alignment horizontal="centerContinuous" vertical="center" wrapText="1"/>
    </xf>
    <xf numFmtId="4" fontId="2" fillId="2" borderId="3" xfId="0" applyNumberFormat="1" applyFont="1" applyFill="1" applyBorder="1" applyAlignment="1">
      <alignment horizontal="centerContinuous" vertical="center"/>
    </xf>
    <xf numFmtId="4" fontId="2" fillId="0" borderId="4" xfId="0" applyNumberFormat="1" applyFont="1" applyBorder="1" applyAlignment="1">
      <alignment vertical="center"/>
    </xf>
    <xf numFmtId="4" fontId="2" fillId="2" borderId="23" xfId="0" applyNumberFormat="1" applyFont="1" applyFill="1" applyBorder="1" applyAlignment="1">
      <alignment horizontal="centerContinuous" vertical="center"/>
    </xf>
    <xf numFmtId="4" fontId="2" fillId="2" borderId="2" xfId="0" applyNumberFormat="1" applyFont="1" applyFill="1" applyBorder="1" applyAlignment="1">
      <alignment horizontal="centerContinuous" vertical="center"/>
    </xf>
    <xf numFmtId="4" fontId="2" fillId="0" borderId="2" xfId="0" applyNumberFormat="1" applyFont="1" applyBorder="1" applyAlignment="1">
      <alignment vertical="center"/>
    </xf>
    <xf numFmtId="4" fontId="0" fillId="0" borderId="3" xfId="0" applyNumberFormat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9" fontId="1" fillId="0" borderId="2" xfId="1" applyFont="1" applyBorder="1" applyAlignment="1">
      <alignment vertical="center"/>
    </xf>
    <xf numFmtId="4" fontId="2" fillId="2" borderId="17" xfId="0" applyNumberFormat="1" applyFont="1" applyFill="1" applyBorder="1" applyAlignment="1">
      <alignment vertical="center"/>
    </xf>
    <xf numFmtId="9" fontId="0" fillId="0" borderId="0" xfId="1" applyFont="1" applyBorder="1" applyAlignment="1">
      <alignment vertical="center"/>
    </xf>
    <xf numFmtId="166" fontId="18" fillId="0" borderId="3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9" fontId="0" fillId="0" borderId="20" xfId="1" applyFont="1" applyBorder="1" applyAlignment="1">
      <alignment vertical="center"/>
    </xf>
    <xf numFmtId="9" fontId="0" fillId="0" borderId="0" xfId="1" applyFont="1" applyAlignment="1">
      <alignment vertical="center"/>
    </xf>
    <xf numFmtId="169" fontId="0" fillId="0" borderId="0" xfId="1" applyNumberFormat="1" applyFont="1" applyBorder="1" applyAlignment="1">
      <alignment vertical="center"/>
    </xf>
    <xf numFmtId="175" fontId="0" fillId="0" borderId="0" xfId="1" applyNumberFormat="1" applyFont="1" applyBorder="1" applyAlignment="1">
      <alignment vertical="center"/>
    </xf>
    <xf numFmtId="9" fontId="0" fillId="0" borderId="2" xfId="1" applyFont="1" applyBorder="1" applyAlignment="1">
      <alignment vertical="center"/>
    </xf>
    <xf numFmtId="0" fontId="2" fillId="0" borderId="0" xfId="0" applyFont="1" applyAlignment="1">
      <alignment horizontal="center"/>
    </xf>
    <xf numFmtId="0" fontId="0" fillId="0" borderId="6" xfId="0" applyBorder="1"/>
    <xf numFmtId="4" fontId="2" fillId="0" borderId="2" xfId="0" applyNumberFormat="1" applyFont="1" applyBorder="1"/>
    <xf numFmtId="4" fontId="2" fillId="2" borderId="3" xfId="0" applyNumberFormat="1" applyFont="1" applyFill="1" applyBorder="1" applyAlignment="1">
      <alignment horizontal="centerContinuous"/>
    </xf>
    <xf numFmtId="4" fontId="2" fillId="2" borderId="23" xfId="0" applyNumberFormat="1" applyFont="1" applyFill="1" applyBorder="1" applyAlignment="1">
      <alignment horizontal="centerContinuous"/>
    </xf>
    <xf numFmtId="4" fontId="2" fillId="2" borderId="2" xfId="0" applyNumberFormat="1" applyFont="1" applyFill="1" applyBorder="1" applyAlignment="1">
      <alignment horizontal="centerContinuous"/>
    </xf>
    <xf numFmtId="4" fontId="0" fillId="0" borderId="3" xfId="0" applyNumberFormat="1" applyBorder="1"/>
    <xf numFmtId="4" fontId="2" fillId="0" borderId="3" xfId="0" applyNumberFormat="1" applyFont="1" applyBorder="1"/>
    <xf numFmtId="9" fontId="1" fillId="0" borderId="2" xfId="1" applyFont="1" applyBorder="1"/>
    <xf numFmtId="4" fontId="2" fillId="2" borderId="17" xfId="0" applyNumberFormat="1" applyFont="1" applyFill="1" applyBorder="1"/>
    <xf numFmtId="0" fontId="20" fillId="0" borderId="0" xfId="0" applyFont="1"/>
    <xf numFmtId="174" fontId="2" fillId="0" borderId="3" xfId="0" applyNumberFormat="1" applyFont="1" applyBorder="1" applyAlignment="1">
      <alignment vertical="center"/>
    </xf>
    <xf numFmtId="0" fontId="20" fillId="0" borderId="0" xfId="0" applyFont="1" applyFill="1"/>
    <xf numFmtId="0" fontId="2" fillId="3" borderId="26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/>
    <xf numFmtId="0" fontId="0" fillId="0" borderId="29" xfId="0" applyBorder="1" applyAlignment="1">
      <alignment horizontal="left" indent="1"/>
    </xf>
    <xf numFmtId="0" fontId="2" fillId="0" borderId="30" xfId="0" applyFont="1" applyBorder="1"/>
    <xf numFmtId="0" fontId="2" fillId="3" borderId="31" xfId="0" applyFont="1" applyFill="1" applyBorder="1" applyAlignment="1">
      <alignment horizontal="center"/>
    </xf>
    <xf numFmtId="0" fontId="20" fillId="0" borderId="29" xfId="0" applyFont="1" applyFill="1" applyBorder="1" applyAlignment="1">
      <alignment horizontal="left" indent="1"/>
    </xf>
    <xf numFmtId="0" fontId="20" fillId="0" borderId="29" xfId="0" applyFont="1" applyBorder="1" applyAlignment="1">
      <alignment horizontal="left" indent="1"/>
    </xf>
    <xf numFmtId="0" fontId="0" fillId="0" borderId="29" xfId="0" applyFont="1" applyBorder="1"/>
    <xf numFmtId="0" fontId="0" fillId="0" borderId="29" xfId="0" applyFont="1" applyFill="1" applyBorder="1"/>
    <xf numFmtId="0" fontId="21" fillId="0" borderId="0" xfId="0" applyFont="1" applyBorder="1" applyAlignment="1">
      <alignment horizontal="center" vertical="center" wrapText="1"/>
    </xf>
    <xf numFmtId="0" fontId="10" fillId="3" borderId="6" xfId="0" applyFont="1" applyFill="1" applyBorder="1" applyAlignment="1">
      <alignment vertical="center"/>
    </xf>
    <xf numFmtId="169" fontId="0" fillId="0" borderId="0" xfId="1" applyNumberFormat="1" applyFont="1" applyFill="1" applyAlignment="1">
      <alignment vertical="center"/>
    </xf>
    <xf numFmtId="0" fontId="10" fillId="0" borderId="8" xfId="0" applyFont="1" applyFill="1" applyBorder="1" applyAlignment="1">
      <alignment vertical="top" wrapText="1"/>
    </xf>
    <xf numFmtId="166" fontId="21" fillId="0" borderId="0" xfId="0" applyNumberFormat="1" applyFont="1" applyBorder="1" applyAlignment="1">
      <alignment horizontal="center" vertical="center" wrapText="1"/>
    </xf>
    <xf numFmtId="166" fontId="21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Fill="1" applyAlignment="1">
      <alignment vertical="center"/>
    </xf>
    <xf numFmtId="3" fontId="2" fillId="0" borderId="0" xfId="0" applyNumberFormat="1" applyFont="1" applyBorder="1"/>
    <xf numFmtId="3" fontId="0" fillId="0" borderId="0" xfId="0" applyNumberFormat="1" applyBorder="1"/>
    <xf numFmtId="4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66" fontId="0" fillId="0" borderId="0" xfId="0" applyNumberFormat="1" applyFill="1" applyAlignment="1">
      <alignment vertical="center"/>
    </xf>
    <xf numFmtId="0" fontId="14" fillId="0" borderId="0" xfId="0" applyFont="1" applyFill="1" applyAlignment="1">
      <alignment horizontal="center" vertical="center"/>
    </xf>
    <xf numFmtId="3" fontId="10" fillId="0" borderId="6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/>
    </xf>
    <xf numFmtId="166" fontId="10" fillId="0" borderId="2" xfId="0" applyNumberFormat="1" applyFont="1" applyFill="1" applyBorder="1" applyAlignment="1">
      <alignment horizontal="center" vertical="center"/>
    </xf>
    <xf numFmtId="166" fontId="5" fillId="0" borderId="4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4" fontId="2" fillId="0" borderId="5" xfId="0" applyNumberFormat="1" applyFont="1" applyFill="1" applyBorder="1" applyAlignment="1"/>
    <xf numFmtId="4" fontId="2" fillId="0" borderId="5" xfId="0" applyNumberFormat="1" applyFont="1" applyFill="1" applyBorder="1" applyAlignment="1">
      <alignment horizontal="center"/>
    </xf>
    <xf numFmtId="0" fontId="2" fillId="0" borderId="2" xfId="0" applyFont="1" applyFill="1" applyBorder="1"/>
    <xf numFmtId="0" fontId="2" fillId="0" borderId="4" xfId="0" applyFont="1" applyFill="1" applyBorder="1" applyAlignment="1">
      <alignment horizontal="center"/>
    </xf>
    <xf numFmtId="4" fontId="0" fillId="0" borderId="2" xfId="0" applyNumberFormat="1" applyFill="1" applyBorder="1"/>
    <xf numFmtId="0" fontId="0" fillId="0" borderId="2" xfId="0" applyFill="1" applyBorder="1"/>
    <xf numFmtId="4" fontId="2" fillId="0" borderId="4" xfId="0" applyNumberFormat="1" applyFont="1" applyFill="1" applyBorder="1" applyAlignment="1"/>
    <xf numFmtId="0" fontId="0" fillId="0" borderId="10" xfId="0" applyFill="1" applyBorder="1"/>
    <xf numFmtId="3" fontId="0" fillId="0" borderId="2" xfId="0" applyNumberFormat="1" applyBorder="1"/>
    <xf numFmtId="3" fontId="2" fillId="0" borderId="2" xfId="0" applyNumberFormat="1" applyFont="1" applyBorder="1"/>
    <xf numFmtId="0" fontId="0" fillId="0" borderId="0" xfId="0" applyFill="1" applyBorder="1"/>
    <xf numFmtId="166" fontId="11" fillId="0" borderId="5" xfId="0" applyNumberFormat="1" applyFont="1" applyBorder="1" applyAlignment="1">
      <alignment vertical="center"/>
    </xf>
    <xf numFmtId="169" fontId="10" fillId="0" borderId="0" xfId="1" applyNumberFormat="1" applyFont="1" applyAlignment="1">
      <alignment vertical="center"/>
    </xf>
    <xf numFmtId="169" fontId="12" fillId="0" borderId="0" xfId="1" applyNumberFormat="1" applyFont="1" applyAlignment="1">
      <alignment horizontal="center" vertical="center" wrapText="1"/>
    </xf>
    <xf numFmtId="169" fontId="10" fillId="0" borderId="0" xfId="1" applyNumberFormat="1" applyFont="1" applyAlignment="1">
      <alignment horizontal="center" vertical="center"/>
    </xf>
    <xf numFmtId="169" fontId="11" fillId="0" borderId="5" xfId="1" applyNumberFormat="1" applyFont="1" applyBorder="1" applyAlignment="1">
      <alignment vertical="center"/>
    </xf>
    <xf numFmtId="0" fontId="14" fillId="0" borderId="0" xfId="0" applyFont="1" applyFill="1" applyAlignment="1">
      <alignment horizontal="centerContinuous" vertical="center"/>
    </xf>
    <xf numFmtId="3" fontId="2" fillId="3" borderId="27" xfId="0" applyNumberFormat="1" applyFont="1" applyFill="1" applyBorder="1" applyAlignment="1">
      <alignment horizontal="center"/>
    </xf>
    <xf numFmtId="3" fontId="2" fillId="3" borderId="25" xfId="0" applyNumberFormat="1" applyFont="1" applyFill="1" applyBorder="1" applyAlignment="1">
      <alignment horizontal="center"/>
    </xf>
    <xf numFmtId="3" fontId="2" fillId="3" borderId="26" xfId="0" applyNumberFormat="1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3" fontId="2" fillId="0" borderId="28" xfId="0" applyNumberFormat="1" applyFont="1" applyBorder="1" applyAlignment="1">
      <alignment horizontal="center"/>
    </xf>
    <xf numFmtId="3" fontId="2" fillId="0" borderId="29" xfId="0" applyNumberFormat="1" applyFont="1" applyBorder="1"/>
    <xf numFmtId="3" fontId="0" fillId="0" borderId="29" xfId="0" applyNumberFormat="1" applyBorder="1"/>
    <xf numFmtId="3" fontId="2" fillId="0" borderId="5" xfId="0" applyNumberFormat="1" applyFont="1" applyBorder="1"/>
    <xf numFmtId="3" fontId="2" fillId="0" borderId="4" xfId="0" applyNumberFormat="1" applyFont="1" applyBorder="1"/>
    <xf numFmtId="3" fontId="2" fillId="0" borderId="30" xfId="0" applyNumberFormat="1" applyFont="1" applyBorder="1"/>
    <xf numFmtId="3" fontId="2" fillId="3" borderId="18" xfId="0" applyNumberFormat="1" applyFont="1" applyFill="1" applyBorder="1"/>
    <xf numFmtId="3" fontId="2" fillId="3" borderId="17" xfId="0" applyNumberFormat="1" applyFont="1" applyFill="1" applyBorder="1"/>
    <xf numFmtId="3" fontId="0" fillId="0" borderId="0" xfId="0" applyNumberFormat="1" applyFont="1" applyBorder="1"/>
    <xf numFmtId="3" fontId="0" fillId="0" borderId="2" xfId="0" applyNumberFormat="1" applyFont="1" applyBorder="1"/>
    <xf numFmtId="3" fontId="0" fillId="0" borderId="29" xfId="0" applyNumberFormat="1" applyFont="1" applyBorder="1"/>
    <xf numFmtId="3" fontId="20" fillId="0" borderId="0" xfId="0" applyNumberFormat="1" applyFont="1" applyFill="1" applyBorder="1"/>
    <xf numFmtId="3" fontId="20" fillId="0" borderId="2" xfId="0" applyNumberFormat="1" applyFont="1" applyFill="1" applyBorder="1"/>
    <xf numFmtId="3" fontId="20" fillId="0" borderId="29" xfId="0" applyNumberFormat="1" applyFont="1" applyFill="1" applyBorder="1"/>
    <xf numFmtId="3" fontId="20" fillId="0" borderId="0" xfId="0" applyNumberFormat="1" applyFont="1" applyBorder="1"/>
    <xf numFmtId="3" fontId="20" fillId="0" borderId="2" xfId="0" applyNumberFormat="1" applyFont="1" applyBorder="1"/>
    <xf numFmtId="3" fontId="20" fillId="0" borderId="29" xfId="0" applyNumberFormat="1" applyFont="1" applyBorder="1"/>
    <xf numFmtId="3" fontId="0" fillId="0" borderId="0" xfId="0" applyNumberFormat="1"/>
    <xf numFmtId="0" fontId="14" fillId="0" borderId="0" xfId="0" applyFont="1" applyBorder="1" applyAlignment="1">
      <alignment horizontal="centerContinuous" vertical="top"/>
    </xf>
    <xf numFmtId="3" fontId="15" fillId="0" borderId="0" xfId="0" applyNumberFormat="1" applyFont="1" applyAlignment="1">
      <alignment horizontal="centerContinuous" vertical="top"/>
    </xf>
    <xf numFmtId="3" fontId="15" fillId="0" borderId="2" xfId="0" applyNumberFormat="1" applyFont="1" applyBorder="1" applyAlignment="1">
      <alignment horizontal="centerContinuous" vertical="top"/>
    </xf>
    <xf numFmtId="3" fontId="15" fillId="0" borderId="0" xfId="0" applyNumberFormat="1" applyFont="1" applyBorder="1" applyAlignment="1">
      <alignment horizontal="centerContinuous" vertical="top"/>
    </xf>
    <xf numFmtId="0" fontId="2" fillId="0" borderId="32" xfId="0" applyFont="1" applyFill="1" applyBorder="1" applyAlignment="1">
      <alignment horizontal="centerContinuous"/>
    </xf>
    <xf numFmtId="0" fontId="2" fillId="0" borderId="33" xfId="0" applyFont="1" applyFill="1" applyBorder="1" applyAlignment="1">
      <alignment horizontal="centerContinuous"/>
    </xf>
    <xf numFmtId="0" fontId="2" fillId="0" borderId="34" xfId="0" applyFont="1" applyFill="1" applyBorder="1" applyAlignment="1">
      <alignment horizontal="centerContinuous"/>
    </xf>
    <xf numFmtId="0" fontId="2" fillId="0" borderId="10" xfId="0" applyFont="1" applyFill="1" applyBorder="1"/>
    <xf numFmtId="0" fontId="2" fillId="0" borderId="0" xfId="0" applyFont="1" applyFill="1" applyBorder="1"/>
    <xf numFmtId="0" fontId="2" fillId="0" borderId="9" xfId="0" applyFont="1" applyFill="1" applyBorder="1" applyAlignment="1">
      <alignment horizontal="center"/>
    </xf>
    <xf numFmtId="4" fontId="0" fillId="0" borderId="10" xfId="0" applyNumberFormat="1" applyFill="1" applyBorder="1"/>
    <xf numFmtId="4" fontId="0" fillId="0" borderId="0" xfId="0" applyNumberFormat="1" applyFill="1" applyBorder="1"/>
    <xf numFmtId="4" fontId="2" fillId="0" borderId="9" xfId="0" applyNumberFormat="1" applyFont="1" applyFill="1" applyBorder="1" applyAlignment="1"/>
    <xf numFmtId="0" fontId="2" fillId="0" borderId="9" xfId="0" applyFont="1" applyFill="1" applyBorder="1"/>
    <xf numFmtId="4" fontId="2" fillId="0" borderId="4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0" xfId="0" applyFont="1" applyFill="1" applyBorder="1"/>
    <xf numFmtId="0" fontId="0" fillId="3" borderId="10" xfId="0" applyFill="1" applyBorder="1"/>
    <xf numFmtId="4" fontId="19" fillId="0" borderId="0" xfId="0" applyNumberFormat="1" applyFont="1" applyFill="1" applyBorder="1"/>
    <xf numFmtId="4" fontId="19" fillId="0" borderId="2" xfId="0" applyNumberFormat="1" applyFont="1" applyFill="1" applyBorder="1"/>
    <xf numFmtId="0" fontId="14" fillId="0" borderId="0" xfId="0" applyFont="1" applyFill="1" applyAlignment="1">
      <alignment horizontal="center" vertical="top"/>
    </xf>
    <xf numFmtId="0" fontId="14" fillId="0" borderId="0" xfId="0" applyFont="1" applyFill="1" applyAlignment="1">
      <alignment horizontal="centerContinuous" vertical="top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Continuous" vertical="center"/>
    </xf>
    <xf numFmtId="0" fontId="2" fillId="0" borderId="4" xfId="0" applyFont="1" applyFill="1" applyBorder="1" applyAlignment="1">
      <alignment horizontal="centerContinuous" vertical="center" wrapText="1"/>
    </xf>
    <xf numFmtId="0" fontId="22" fillId="0" borderId="0" xfId="0" applyFont="1" applyFill="1" applyAlignment="1">
      <alignment horizontal="centerContinuous" vertical="top"/>
    </xf>
    <xf numFmtId="4" fontId="2" fillId="3" borderId="31" xfId="0" applyNumberFormat="1" applyFont="1" applyFill="1" applyBorder="1"/>
    <xf numFmtId="177" fontId="2" fillId="0" borderId="4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/>
    <xf numFmtId="4" fontId="0" fillId="0" borderId="0" xfId="0" applyNumberFormat="1" applyAlignment="1"/>
    <xf numFmtId="4" fontId="20" fillId="0" borderId="0" xfId="0" applyNumberFormat="1" applyFont="1"/>
    <xf numFmtId="0" fontId="0" fillId="0" borderId="3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0" fillId="0" borderId="34" xfId="0" applyFont="1" applyBorder="1" applyAlignment="1">
      <alignment horizontal="centerContinuous"/>
    </xf>
    <xf numFmtId="0" fontId="20" fillId="0" borderId="2" xfId="0" applyFont="1" applyBorder="1" applyAlignment="1">
      <alignment horizontal="centerContinuous"/>
    </xf>
    <xf numFmtId="0" fontId="20" fillId="0" borderId="3" xfId="0" applyFont="1" applyBorder="1" applyAlignment="1">
      <alignment horizontal="centerContinuous"/>
    </xf>
    <xf numFmtId="0" fontId="20" fillId="0" borderId="2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35" xfId="0" applyFont="1" applyBorder="1" applyAlignment="1">
      <alignment horizontal="centerContinuous"/>
    </xf>
    <xf numFmtId="0" fontId="20" fillId="0" borderId="6" xfId="0" applyFont="1" applyBorder="1" applyAlignment="1">
      <alignment horizontal="centerContinuous"/>
    </xf>
    <xf numFmtId="0" fontId="20" fillId="0" borderId="7" xfId="0" applyFont="1" applyBorder="1" applyAlignment="1">
      <alignment horizontal="centerContinuous"/>
    </xf>
    <xf numFmtId="0" fontId="20" fillId="0" borderId="6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0" fillId="0" borderId="34" xfId="0" applyBorder="1"/>
    <xf numFmtId="0" fontId="0" fillId="0" borderId="2" xfId="0" applyBorder="1" applyAlignment="1">
      <alignment horizontal="centerContinuous"/>
    </xf>
    <xf numFmtId="3" fontId="0" fillId="0" borderId="32" xfId="0" applyNumberFormat="1" applyBorder="1"/>
    <xf numFmtId="3" fontId="0" fillId="0" borderId="10" xfId="0" applyNumberFormat="1" applyBorder="1"/>
    <xf numFmtId="3" fontId="23" fillId="0" borderId="10" xfId="0" applyNumberFormat="1" applyFont="1" applyBorder="1" applyAlignment="1">
      <alignment horizontal="centerContinuous" vertical="center" wrapText="1"/>
    </xf>
    <xf numFmtId="3" fontId="0" fillId="0" borderId="35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34" xfId="0" applyNumberFormat="1" applyBorder="1"/>
    <xf numFmtId="4" fontId="0" fillId="3" borderId="0" xfId="0" applyNumberFormat="1" applyFill="1"/>
    <xf numFmtId="14" fontId="0" fillId="0" borderId="2" xfId="0" applyNumberFormat="1" applyBorder="1" applyAlignment="1">
      <alignment horizontal="center"/>
    </xf>
    <xf numFmtId="4" fontId="0" fillId="0" borderId="4" xfId="0" applyNumberFormat="1" applyBorder="1"/>
    <xf numFmtId="4" fontId="0" fillId="3" borderId="5" xfId="0" applyNumberFormat="1" applyFill="1" applyBorder="1"/>
    <xf numFmtId="4" fontId="0" fillId="3" borderId="2" xfId="0" applyNumberFormat="1" applyFill="1" applyBorder="1"/>
    <xf numFmtId="4" fontId="20" fillId="0" borderId="2" xfId="0" applyNumberFormat="1" applyFont="1" applyBorder="1"/>
    <xf numFmtId="0" fontId="0" fillId="0" borderId="34" xfId="0" applyBorder="1" applyAlignment="1">
      <alignment horizontal="centerContinuous"/>
    </xf>
    <xf numFmtId="0" fontId="0" fillId="0" borderId="3" xfId="0" applyBorder="1" applyAlignment="1">
      <alignment horizontal="centerContinuous"/>
    </xf>
    <xf numFmtId="0" fontId="0" fillId="0" borderId="35" xfId="0" applyBorder="1" applyAlignment="1">
      <alignment horizontal="centerContinuous"/>
    </xf>
    <xf numFmtId="0" fontId="0" fillId="0" borderId="6" xfId="0" applyBorder="1" applyAlignment="1">
      <alignment horizontal="centerContinuous"/>
    </xf>
    <xf numFmtId="0" fontId="0" fillId="0" borderId="7" xfId="0" applyBorder="1" applyAlignment="1">
      <alignment horizontal="centerContinuous"/>
    </xf>
    <xf numFmtId="4" fontId="0" fillId="3" borderId="8" xfId="0" applyNumberFormat="1" applyFill="1" applyBorder="1" applyAlignment="1"/>
    <xf numFmtId="4" fontId="0" fillId="0" borderId="10" xfId="0" applyNumberFormat="1" applyBorder="1" applyAlignment="1"/>
    <xf numFmtId="4" fontId="0" fillId="0" borderId="2" xfId="0" applyNumberFormat="1" applyBorder="1" applyAlignment="1"/>
    <xf numFmtId="14" fontId="0" fillId="0" borderId="2" xfId="0" applyNumberFormat="1" applyBorder="1"/>
    <xf numFmtId="3" fontId="0" fillId="0" borderId="9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23" fillId="0" borderId="3" xfId="0" applyFont="1" applyBorder="1"/>
    <xf numFmtId="0" fontId="0" fillId="0" borderId="7" xfId="0" applyBorder="1"/>
    <xf numFmtId="14" fontId="0" fillId="0" borderId="3" xfId="0" applyNumberFormat="1" applyBorder="1"/>
    <xf numFmtId="3" fontId="0" fillId="0" borderId="1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4" fontId="0" fillId="0" borderId="7" xfId="0" applyNumberFormat="1" applyBorder="1"/>
    <xf numFmtId="4" fontId="0" fillId="3" borderId="1" xfId="0" applyNumberFormat="1" applyFill="1" applyBorder="1"/>
    <xf numFmtId="4" fontId="0" fillId="3" borderId="3" xfId="0" applyNumberFormat="1" applyFill="1" applyBorder="1"/>
    <xf numFmtId="4" fontId="0" fillId="0" borderId="11" xfId="0" applyNumberFormat="1" applyBorder="1"/>
    <xf numFmtId="169" fontId="0" fillId="0" borderId="0" xfId="1" applyNumberFormat="1" applyFont="1" applyBorder="1"/>
    <xf numFmtId="169" fontId="0" fillId="0" borderId="1" xfId="1" applyNumberFormat="1" applyFont="1" applyBorder="1"/>
    <xf numFmtId="0" fontId="0" fillId="0" borderId="0" xfId="0" applyBorder="1" applyAlignment="1"/>
    <xf numFmtId="4" fontId="1" fillId="0" borderId="0" xfId="1" applyNumberFormat="1" applyFont="1" applyBorder="1"/>
  </cellXfs>
  <cellStyles count="5">
    <cellStyle name="Comma" xfId="2" builtinId="3"/>
    <cellStyle name="Comma 2" xfId="4"/>
    <cellStyle name="Normal" xfId="0" builtinId="0"/>
    <cellStyle name="Percent" xfId="1" builtinId="5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72;&#1089;&#1095;&#1077;&#1090;%20&#1090;&#1072;&#1088;&#1080;&#1092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тат (2)"/>
      <sheetName val="Дошка оголошень"/>
      <sheetName val="расчет"/>
      <sheetName val="штат"/>
      <sheetName val="кошторис"/>
      <sheetName val="расчет тарифа"/>
      <sheetName val="ЖЕК"/>
      <sheetName val="структура"/>
    </sheetNames>
    <sheetDataSet>
      <sheetData sheetId="0"/>
      <sheetData sheetId="1"/>
      <sheetData sheetId="2"/>
      <sheetData sheetId="3">
        <row r="5">
          <cell r="A5" t="str">
            <v>Виконавчий директор / головний інженер</v>
          </cell>
          <cell r="B5">
            <v>1</v>
          </cell>
          <cell r="C5">
            <v>12450</v>
          </cell>
          <cell r="I5">
            <v>10021.502999999999</v>
          </cell>
          <cell r="J5">
            <v>7006.362000000001</v>
          </cell>
          <cell r="K5">
            <v>17027.864999999998</v>
          </cell>
        </row>
        <row r="6">
          <cell r="A6" t="str">
            <v>Директор з організаційних питань</v>
          </cell>
          <cell r="B6">
            <v>1</v>
          </cell>
          <cell r="C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Начальник дільниці</v>
          </cell>
          <cell r="B7">
            <v>1</v>
          </cell>
          <cell r="C7">
            <v>9950</v>
          </cell>
          <cell r="I7">
            <v>8009.1529999999993</v>
          </cell>
          <cell r="J7">
            <v>5599.4620000000004</v>
          </cell>
          <cell r="K7">
            <v>13608.615</v>
          </cell>
        </row>
        <row r="8">
          <cell r="A8" t="str">
            <v>Головний бухгалтер</v>
          </cell>
          <cell r="B8">
            <v>1</v>
          </cell>
          <cell r="C8">
            <v>6220</v>
          </cell>
          <cell r="I8">
            <v>5006.7268000000004</v>
          </cell>
          <cell r="J8">
            <v>3500.3672000000001</v>
          </cell>
          <cell r="K8">
            <v>8507.094000000001</v>
          </cell>
        </row>
        <row r="9">
          <cell r="A9" t="str">
            <v>Бухгалтер</v>
          </cell>
          <cell r="B9">
            <v>1</v>
          </cell>
          <cell r="C9">
            <v>3730</v>
          </cell>
          <cell r="I9">
            <v>3002.4261999999999</v>
          </cell>
          <cell r="J9">
            <v>2099.0948000000003</v>
          </cell>
          <cell r="K9">
            <v>5101.5210000000006</v>
          </cell>
        </row>
        <row r="10">
          <cell r="A10" t="str">
            <v>Электрик-механик</v>
          </cell>
          <cell r="B10">
            <v>1</v>
          </cell>
          <cell r="C10">
            <v>5720</v>
          </cell>
          <cell r="I10">
            <v>4604.2568000000001</v>
          </cell>
          <cell r="J10">
            <v>3218.9872000000005</v>
          </cell>
          <cell r="K10">
            <v>7823.2440000000006</v>
          </cell>
        </row>
        <row r="11">
          <cell r="A11" t="str">
            <v>Электрик-лифтер</v>
          </cell>
          <cell r="B11">
            <v>1</v>
          </cell>
          <cell r="C11">
            <v>4850</v>
          </cell>
          <cell r="I11">
            <v>3903.9589999999998</v>
          </cell>
          <cell r="J11">
            <v>2729.386</v>
          </cell>
          <cell r="K11">
            <v>6633.3449999999993</v>
          </cell>
        </row>
        <row r="12">
          <cell r="A12" t="str">
            <v>Сантехник-сварщик</v>
          </cell>
          <cell r="B12">
            <v>1</v>
          </cell>
          <cell r="C12">
            <v>4850</v>
          </cell>
          <cell r="I12">
            <v>3903.9589999999998</v>
          </cell>
          <cell r="J12">
            <v>2729.386</v>
          </cell>
          <cell r="K12">
            <v>6633.3449999999993</v>
          </cell>
        </row>
        <row r="13">
          <cell r="A13" t="str">
            <v>Слесарь-сантехник</v>
          </cell>
          <cell r="B13">
            <v>1</v>
          </cell>
          <cell r="C13">
            <v>3850</v>
          </cell>
          <cell r="I13">
            <v>3099.0190000000002</v>
          </cell>
          <cell r="J13">
            <v>2166.6260000000002</v>
          </cell>
          <cell r="K13">
            <v>5265.6450000000004</v>
          </cell>
        </row>
        <row r="14">
          <cell r="A14" t="str">
            <v>Диспетчер</v>
          </cell>
          <cell r="B14">
            <v>4</v>
          </cell>
          <cell r="C14">
            <v>3106</v>
          </cell>
          <cell r="I14">
            <v>10000.574560000001</v>
          </cell>
          <cell r="J14">
            <v>6991.7302400000008</v>
          </cell>
          <cell r="K14">
            <v>16992.304800000002</v>
          </cell>
        </row>
        <row r="15">
          <cell r="A15" t="str">
            <v>Дворник</v>
          </cell>
          <cell r="B15">
            <v>2</v>
          </cell>
          <cell r="C15">
            <v>3480</v>
          </cell>
          <cell r="I15">
            <v>5602.3823999999995</v>
          </cell>
          <cell r="J15">
            <v>3916.8096</v>
          </cell>
          <cell r="K15">
            <v>9519.1919999999991</v>
          </cell>
        </row>
        <row r="16">
          <cell r="A16" t="str">
            <v>Прибиральник</v>
          </cell>
          <cell r="B16">
            <v>5</v>
          </cell>
          <cell r="C16">
            <v>3106</v>
          </cell>
          <cell r="I16">
            <v>12500.718200000001</v>
          </cell>
          <cell r="J16">
            <v>8739.6628000000019</v>
          </cell>
          <cell r="K16">
            <v>21240.381000000001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E32"/>
  <sheetViews>
    <sheetView topLeftCell="B1" zoomScale="80" zoomScaleNormal="80" workbookViewId="0">
      <selection activeCell="G1" sqref="G1:N65536"/>
    </sheetView>
  </sheetViews>
  <sheetFormatPr defaultRowHeight="12.75" outlineLevelRow="1" outlineLevelCol="1" x14ac:dyDescent="0.2"/>
  <cols>
    <col min="1" max="1" width="39.85546875" style="207" bestFit="1" customWidth="1"/>
    <col min="2" max="2" width="9.85546875" style="208" bestFit="1" customWidth="1"/>
    <col min="3" max="3" width="9.85546875" style="210" bestFit="1" customWidth="1"/>
    <col min="4" max="4" width="8.7109375" style="207" bestFit="1" customWidth="1"/>
    <col min="5" max="5" width="9.140625" style="207"/>
    <col min="6" max="6" width="9.85546875" style="209" customWidth="1"/>
    <col min="7" max="7" width="9.85546875" style="209" customWidth="1" outlineLevel="1"/>
    <col min="8" max="8" width="13" style="209" customWidth="1" outlineLevel="1"/>
    <col min="9" max="9" width="9.85546875" style="207" customWidth="1" outlineLevel="1"/>
    <col min="10" max="10" width="10.5703125" style="207" customWidth="1" outlineLevel="1"/>
    <col min="11" max="11" width="9.85546875" style="207" bestFit="1" customWidth="1" outlineLevel="1"/>
    <col min="12" max="12" width="9.7109375" style="207" customWidth="1" outlineLevel="1"/>
    <col min="13" max="14" width="9.85546875" style="207" customWidth="1" outlineLevel="1"/>
    <col min="15" max="15" width="13.85546875" style="207" bestFit="1" customWidth="1"/>
    <col min="16" max="16" width="10.85546875" style="207" bestFit="1" customWidth="1"/>
    <col min="17" max="17" width="9.85546875" style="207" customWidth="1"/>
    <col min="18" max="18" width="5.85546875" style="207" customWidth="1" outlineLevel="1"/>
    <col min="19" max="19" width="7.140625" style="207" customWidth="1" outlineLevel="1"/>
    <col min="20" max="20" width="8.7109375" style="207" customWidth="1" outlineLevel="1"/>
    <col min="21" max="21" width="9.140625" style="207" outlineLevel="1"/>
    <col min="22" max="23" width="9.85546875" style="207" customWidth="1" outlineLevel="1"/>
    <col min="24" max="27" width="3.28515625" style="207" customWidth="1" outlineLevel="1"/>
    <col min="28" max="28" width="7.140625" style="207" customWidth="1" outlineLevel="1"/>
    <col min="29" max="29" width="8.7109375" style="207" customWidth="1" outlineLevel="1"/>
    <col min="30" max="30" width="9.85546875" style="207" customWidth="1" outlineLevel="1"/>
    <col min="31" max="31" width="9.140625" style="207" outlineLevel="1"/>
    <col min="32" max="16384" width="9.140625" style="207"/>
  </cols>
  <sheetData>
    <row r="3" spans="1:30" s="203" customFormat="1" x14ac:dyDescent="0.2">
      <c r="A3" s="203" t="s">
        <v>221</v>
      </c>
      <c r="B3" s="204"/>
      <c r="C3" s="206"/>
      <c r="D3" s="222">
        <v>3.5999999999999997E-2</v>
      </c>
      <c r="E3" s="226">
        <v>0.15</v>
      </c>
      <c r="F3" s="205"/>
      <c r="G3" s="205"/>
      <c r="H3" s="205"/>
      <c r="O3" s="222">
        <v>0.34699999999999998</v>
      </c>
      <c r="S3" s="217">
        <v>1147</v>
      </c>
      <c r="T3" s="217">
        <v>1218</v>
      </c>
      <c r="V3" s="217">
        <v>1147</v>
      </c>
      <c r="W3" s="217">
        <v>1218</v>
      </c>
    </row>
    <row r="4" spans="1:30" s="203" customFormat="1" x14ac:dyDescent="0.2">
      <c r="A4" s="213" t="s">
        <v>224</v>
      </c>
      <c r="B4" s="214" t="s">
        <v>166</v>
      </c>
      <c r="C4" s="216" t="s">
        <v>298</v>
      </c>
      <c r="D4" s="223" t="s">
        <v>299</v>
      </c>
      <c r="E4" s="223" t="s">
        <v>300</v>
      </c>
      <c r="F4" s="216" t="s">
        <v>301</v>
      </c>
      <c r="G4" s="216" t="s">
        <v>228</v>
      </c>
      <c r="H4" s="216" t="s">
        <v>232</v>
      </c>
      <c r="I4" s="216" t="s">
        <v>233</v>
      </c>
      <c r="J4" s="214" t="s">
        <v>297</v>
      </c>
      <c r="K4" s="223" t="s">
        <v>299</v>
      </c>
      <c r="L4" s="214"/>
      <c r="M4" s="214" t="s">
        <v>225</v>
      </c>
      <c r="N4" s="214"/>
      <c r="O4" s="214" t="s">
        <v>302</v>
      </c>
      <c r="P4" s="214" t="s">
        <v>303</v>
      </c>
      <c r="Q4" s="214" t="s">
        <v>297</v>
      </c>
      <c r="R4" s="221"/>
      <c r="S4" s="217">
        <v>17</v>
      </c>
      <c r="T4" s="217">
        <v>17</v>
      </c>
      <c r="V4" s="217">
        <v>10</v>
      </c>
      <c r="W4" s="217">
        <v>10</v>
      </c>
    </row>
    <row r="5" spans="1:30" x14ac:dyDescent="0.2">
      <c r="A5" s="207" t="s">
        <v>248</v>
      </c>
      <c r="B5" s="208">
        <v>1</v>
      </c>
      <c r="C5" s="210">
        <v>12450</v>
      </c>
      <c r="D5" s="224">
        <f t="shared" ref="D5:D15" si="0">C5*$D$3</f>
        <v>448.2</v>
      </c>
      <c r="E5" s="224">
        <f t="shared" ref="E5:E15" si="1">(C5-D5)*$E$3</f>
        <v>1800.2699999999998</v>
      </c>
      <c r="F5" s="209">
        <f t="shared" ref="F5:F15" si="2">C5-D5-E5</f>
        <v>10201.529999999999</v>
      </c>
      <c r="G5" s="209">
        <f t="shared" ref="G5:G15" si="3">B5*F5</f>
        <v>10201.529999999999</v>
      </c>
      <c r="H5" s="209">
        <f t="shared" ref="H5:H15" si="4">G5/0.83-G5</f>
        <v>2089.4700000000012</v>
      </c>
      <c r="I5" s="209">
        <f t="shared" ref="I5:I15" si="5">G5+H5</f>
        <v>12291</v>
      </c>
      <c r="J5" s="210">
        <f t="shared" ref="J5:J15" si="6">C5*B5</f>
        <v>12450</v>
      </c>
      <c r="K5" s="224">
        <f t="shared" ref="K5:K14" si="7">F5-D5-E5</f>
        <v>7953.0599999999986</v>
      </c>
      <c r="L5" s="211">
        <f>K5/G5</f>
        <v>0.77959482548205994</v>
      </c>
      <c r="M5" s="210">
        <f>MIN(F5,W5*(1-W7))/(1-W7)/(1-T7)+MAX(0,F5-W5*(1-W7))/(1-W8)/(1-T7)</f>
        <v>12450</v>
      </c>
      <c r="N5" s="210">
        <f t="shared" ref="N5:N15" si="8">M5-G5</f>
        <v>2248.4700000000012</v>
      </c>
      <c r="O5" s="210">
        <f t="shared" ref="O5:O15" si="9">$O$3*C5</f>
        <v>4320.1499999999996</v>
      </c>
      <c r="P5" s="210">
        <f t="shared" ref="P5:P15" si="10">D5+E5+O5</f>
        <v>6568.619999999999</v>
      </c>
      <c r="Q5" s="210">
        <f t="shared" ref="Q5:Q15" si="11">M5+O5</f>
        <v>16770.150000000001</v>
      </c>
      <c r="R5" s="210"/>
      <c r="S5" s="218">
        <f>S3*S4</f>
        <v>19499</v>
      </c>
      <c r="T5" s="218">
        <f>T3*T4</f>
        <v>20706</v>
      </c>
      <c r="V5" s="218">
        <f>V3*V4</f>
        <v>11470</v>
      </c>
      <c r="W5" s="218">
        <f>W3*W4</f>
        <v>12180</v>
      </c>
    </row>
    <row r="6" spans="1:30" x14ac:dyDescent="0.2">
      <c r="A6" s="207" t="s">
        <v>227</v>
      </c>
      <c r="B6" s="208">
        <v>1</v>
      </c>
      <c r="C6" s="210">
        <v>0</v>
      </c>
      <c r="D6" s="224">
        <f t="shared" si="0"/>
        <v>0</v>
      </c>
      <c r="E6" s="224">
        <f t="shared" si="1"/>
        <v>0</v>
      </c>
      <c r="F6" s="209">
        <f t="shared" si="2"/>
        <v>0</v>
      </c>
      <c r="G6" s="209">
        <f t="shared" si="3"/>
        <v>0</v>
      </c>
      <c r="H6" s="209">
        <f t="shared" si="4"/>
        <v>0</v>
      </c>
      <c r="I6" s="209">
        <f t="shared" si="5"/>
        <v>0</v>
      </c>
      <c r="J6" s="210">
        <f t="shared" si="6"/>
        <v>0</v>
      </c>
      <c r="K6" s="224">
        <f t="shared" si="7"/>
        <v>0</v>
      </c>
      <c r="L6" s="211"/>
      <c r="M6" s="210"/>
      <c r="N6" s="210">
        <f t="shared" si="8"/>
        <v>0</v>
      </c>
      <c r="O6" s="210">
        <f t="shared" si="9"/>
        <v>0</v>
      </c>
      <c r="P6" s="210">
        <f t="shared" si="10"/>
        <v>0</v>
      </c>
      <c r="Q6" s="210">
        <f t="shared" si="11"/>
        <v>0</v>
      </c>
      <c r="R6" s="210"/>
      <c r="AC6" s="207">
        <f>W5*0.15</f>
        <v>1827</v>
      </c>
    </row>
    <row r="7" spans="1:30" x14ac:dyDescent="0.2">
      <c r="A7" s="207" t="s">
        <v>222</v>
      </c>
      <c r="B7" s="208">
        <v>1</v>
      </c>
      <c r="C7" s="210">
        <v>6100</v>
      </c>
      <c r="D7" s="224">
        <f t="shared" si="0"/>
        <v>219.6</v>
      </c>
      <c r="E7" s="224">
        <f t="shared" si="1"/>
        <v>882.06</v>
      </c>
      <c r="F7" s="209">
        <f t="shared" si="2"/>
        <v>4998.34</v>
      </c>
      <c r="G7" s="209">
        <f t="shared" si="3"/>
        <v>4998.34</v>
      </c>
      <c r="H7" s="209">
        <f t="shared" si="4"/>
        <v>1023.7563855421686</v>
      </c>
      <c r="I7" s="209">
        <f t="shared" si="5"/>
        <v>6022.0963855421687</v>
      </c>
      <c r="J7" s="210">
        <f t="shared" si="6"/>
        <v>6100</v>
      </c>
      <c r="K7" s="224">
        <f t="shared" si="7"/>
        <v>3896.68</v>
      </c>
      <c r="L7" s="211">
        <f t="shared" ref="L7:L15" si="12">K7/G7</f>
        <v>0.77959482548205994</v>
      </c>
      <c r="M7" s="210">
        <f t="shared" ref="M7:M15" si="13">G7/L7</f>
        <v>6411.4586662492184</v>
      </c>
      <c r="N7" s="210">
        <f t="shared" si="8"/>
        <v>1413.1186662492182</v>
      </c>
      <c r="O7" s="210">
        <f t="shared" si="9"/>
        <v>2116.6999999999998</v>
      </c>
      <c r="P7" s="210">
        <f t="shared" si="10"/>
        <v>3218.3599999999997</v>
      </c>
      <c r="Q7" s="210">
        <f t="shared" si="11"/>
        <v>8528.1586662492191</v>
      </c>
      <c r="R7" s="210"/>
      <c r="S7" s="219">
        <v>3.5999999999999997E-2</v>
      </c>
      <c r="T7" s="219">
        <v>3.5999999999999997E-2</v>
      </c>
      <c r="V7" s="220">
        <v>0.15</v>
      </c>
      <c r="W7" s="220">
        <v>0.15</v>
      </c>
    </row>
    <row r="8" spans="1:30" x14ac:dyDescent="0.2">
      <c r="A8" s="207" t="s">
        <v>223</v>
      </c>
      <c r="B8" s="208">
        <v>1</v>
      </c>
      <c r="C8" s="210">
        <v>3700</v>
      </c>
      <c r="D8" s="224">
        <f t="shared" si="0"/>
        <v>133.19999999999999</v>
      </c>
      <c r="E8" s="224">
        <f t="shared" si="1"/>
        <v>535.02</v>
      </c>
      <c r="F8" s="209">
        <f t="shared" si="2"/>
        <v>3031.78</v>
      </c>
      <c r="G8" s="209">
        <f t="shared" si="3"/>
        <v>3031.78</v>
      </c>
      <c r="H8" s="209">
        <f t="shared" si="4"/>
        <v>620.96698795180737</v>
      </c>
      <c r="I8" s="209">
        <f t="shared" si="5"/>
        <v>3652.7469879518076</v>
      </c>
      <c r="J8" s="210">
        <f t="shared" si="6"/>
        <v>3700</v>
      </c>
      <c r="K8" s="224">
        <f t="shared" si="7"/>
        <v>2363.5600000000004</v>
      </c>
      <c r="L8" s="211">
        <f t="shared" si="12"/>
        <v>0.77959482548206016</v>
      </c>
      <c r="M8" s="210">
        <f t="shared" si="13"/>
        <v>3888.9175516593609</v>
      </c>
      <c r="N8" s="210">
        <f t="shared" si="8"/>
        <v>857.13755165936072</v>
      </c>
      <c r="O8" s="210">
        <f t="shared" si="9"/>
        <v>1283.8999999999999</v>
      </c>
      <c r="P8" s="210">
        <f t="shared" si="10"/>
        <v>1952.12</v>
      </c>
      <c r="Q8" s="210">
        <f t="shared" si="11"/>
        <v>5172.817551659361</v>
      </c>
      <c r="R8" s="210"/>
      <c r="S8" s="210">
        <f>S5*S7</f>
        <v>701.96399999999994</v>
      </c>
      <c r="T8" s="210">
        <f>T5*T7</f>
        <v>745.41599999999994</v>
      </c>
      <c r="V8" s="220">
        <v>0.17</v>
      </c>
      <c r="W8" s="220">
        <v>0.17</v>
      </c>
    </row>
    <row r="9" spans="1:30" x14ac:dyDescent="0.2">
      <c r="A9" s="207" t="s">
        <v>252</v>
      </c>
      <c r="B9" s="208">
        <v>1</v>
      </c>
      <c r="C9" s="210">
        <v>5500</v>
      </c>
      <c r="D9" s="224">
        <f t="shared" si="0"/>
        <v>197.99999999999997</v>
      </c>
      <c r="E9" s="224">
        <f t="shared" si="1"/>
        <v>795.3</v>
      </c>
      <c r="F9" s="209">
        <f t="shared" si="2"/>
        <v>4506.7</v>
      </c>
      <c r="G9" s="209">
        <f t="shared" si="3"/>
        <v>4506.7</v>
      </c>
      <c r="H9" s="209">
        <f t="shared" si="4"/>
        <v>923.05903614457839</v>
      </c>
      <c r="I9" s="209">
        <f t="shared" si="5"/>
        <v>5429.7590361445782</v>
      </c>
      <c r="J9" s="210">
        <f t="shared" si="6"/>
        <v>5500</v>
      </c>
      <c r="K9" s="224">
        <f t="shared" si="7"/>
        <v>3513.3999999999996</v>
      </c>
      <c r="L9" s="211">
        <f t="shared" si="12"/>
        <v>0.77959482548206005</v>
      </c>
      <c r="M9" s="210">
        <f t="shared" si="13"/>
        <v>5780.823387601753</v>
      </c>
      <c r="N9" s="210">
        <f t="shared" si="8"/>
        <v>1274.1233876017532</v>
      </c>
      <c r="O9" s="210">
        <f t="shared" si="9"/>
        <v>1908.4999999999998</v>
      </c>
      <c r="P9" s="210">
        <f t="shared" si="10"/>
        <v>2901.7999999999997</v>
      </c>
      <c r="Q9" s="210">
        <f t="shared" si="11"/>
        <v>7689.323387601753</v>
      </c>
      <c r="R9" s="210"/>
    </row>
    <row r="10" spans="1:30" x14ac:dyDescent="0.2">
      <c r="A10" s="207" t="s">
        <v>251</v>
      </c>
      <c r="B10" s="208">
        <v>1</v>
      </c>
      <c r="C10" s="210">
        <v>4600</v>
      </c>
      <c r="D10" s="224">
        <f t="shared" si="0"/>
        <v>165.6</v>
      </c>
      <c r="E10" s="224">
        <f t="shared" si="1"/>
        <v>665.16</v>
      </c>
      <c r="F10" s="209">
        <f t="shared" si="2"/>
        <v>3769.24</v>
      </c>
      <c r="G10" s="209">
        <f t="shared" si="3"/>
        <v>3769.24</v>
      </c>
      <c r="H10" s="209">
        <f t="shared" si="4"/>
        <v>772.01301204819265</v>
      </c>
      <c r="I10" s="209">
        <f t="shared" si="5"/>
        <v>4541.2530120481924</v>
      </c>
      <c r="J10" s="210">
        <f t="shared" si="6"/>
        <v>4600</v>
      </c>
      <c r="K10" s="224">
        <f t="shared" si="7"/>
        <v>2938.48</v>
      </c>
      <c r="L10" s="211">
        <f t="shared" si="12"/>
        <v>0.77959482548206005</v>
      </c>
      <c r="M10" s="210">
        <f t="shared" si="13"/>
        <v>4834.8704696305567</v>
      </c>
      <c r="N10" s="210">
        <f t="shared" si="8"/>
        <v>1065.6304696305569</v>
      </c>
      <c r="O10" s="210">
        <f t="shared" si="9"/>
        <v>1596.1999999999998</v>
      </c>
      <c r="P10" s="210">
        <f t="shared" si="10"/>
        <v>2426.96</v>
      </c>
      <c r="Q10" s="210">
        <f t="shared" si="11"/>
        <v>6431.0704696305565</v>
      </c>
      <c r="R10" s="210"/>
      <c r="V10" s="210">
        <v>12000</v>
      </c>
      <c r="W10" s="210">
        <v>12634.854771784232</v>
      </c>
      <c r="AB10" s="210">
        <f>MIN(W10,$T$5)*$T$7</f>
        <v>454.8547717842323</v>
      </c>
      <c r="AC10" s="210">
        <f>MIN($W$5,(W10-AB10))*$W$7+MAX(0,W10-AB10-$W$5)*$W$8</f>
        <v>1827</v>
      </c>
      <c r="AD10" s="210">
        <f>W10-AC10-AB10</f>
        <v>10353</v>
      </c>
    </row>
    <row r="11" spans="1:30" x14ac:dyDescent="0.2">
      <c r="A11" s="207" t="s">
        <v>230</v>
      </c>
      <c r="B11" s="208">
        <v>1</v>
      </c>
      <c r="C11" s="210">
        <v>4600</v>
      </c>
      <c r="D11" s="224">
        <f t="shared" si="0"/>
        <v>165.6</v>
      </c>
      <c r="E11" s="224">
        <f t="shared" si="1"/>
        <v>665.16</v>
      </c>
      <c r="F11" s="209">
        <f t="shared" si="2"/>
        <v>3769.24</v>
      </c>
      <c r="G11" s="209">
        <f t="shared" si="3"/>
        <v>3769.24</v>
      </c>
      <c r="H11" s="209">
        <f t="shared" si="4"/>
        <v>772.01301204819265</v>
      </c>
      <c r="I11" s="209">
        <f t="shared" si="5"/>
        <v>4541.2530120481924</v>
      </c>
      <c r="J11" s="210">
        <f t="shared" si="6"/>
        <v>4600</v>
      </c>
      <c r="K11" s="224">
        <f t="shared" si="7"/>
        <v>2938.48</v>
      </c>
      <c r="L11" s="211">
        <f t="shared" si="12"/>
        <v>0.77959482548206005</v>
      </c>
      <c r="M11" s="210">
        <f t="shared" si="13"/>
        <v>4834.8704696305567</v>
      </c>
      <c r="N11" s="210">
        <f t="shared" si="8"/>
        <v>1065.6304696305569</v>
      </c>
      <c r="O11" s="210">
        <f t="shared" si="9"/>
        <v>1596.1999999999998</v>
      </c>
      <c r="P11" s="210">
        <f t="shared" si="10"/>
        <v>2426.96</v>
      </c>
      <c r="Q11" s="210">
        <f t="shared" si="11"/>
        <v>6431.0704696305565</v>
      </c>
      <c r="R11" s="210"/>
    </row>
    <row r="12" spans="1:30" x14ac:dyDescent="0.2">
      <c r="A12" s="207" t="s">
        <v>229</v>
      </c>
      <c r="B12" s="208">
        <v>1</v>
      </c>
      <c r="C12" s="210">
        <v>3700</v>
      </c>
      <c r="D12" s="224">
        <f t="shared" si="0"/>
        <v>133.19999999999999</v>
      </c>
      <c r="E12" s="224">
        <f t="shared" si="1"/>
        <v>535.02</v>
      </c>
      <c r="F12" s="209">
        <f t="shared" si="2"/>
        <v>3031.78</v>
      </c>
      <c r="G12" s="209">
        <f t="shared" si="3"/>
        <v>3031.78</v>
      </c>
      <c r="H12" s="209">
        <f t="shared" si="4"/>
        <v>620.96698795180737</v>
      </c>
      <c r="I12" s="209">
        <f t="shared" si="5"/>
        <v>3652.7469879518076</v>
      </c>
      <c r="J12" s="210">
        <f t="shared" si="6"/>
        <v>3700</v>
      </c>
      <c r="K12" s="224">
        <f t="shared" si="7"/>
        <v>2363.5600000000004</v>
      </c>
      <c r="L12" s="211">
        <f t="shared" si="12"/>
        <v>0.77959482548206016</v>
      </c>
      <c r="M12" s="210">
        <f t="shared" si="13"/>
        <v>3888.9175516593609</v>
      </c>
      <c r="N12" s="210">
        <f t="shared" si="8"/>
        <v>857.13755165936072</v>
      </c>
      <c r="O12" s="210">
        <f t="shared" si="9"/>
        <v>1283.8999999999999</v>
      </c>
      <c r="P12" s="210">
        <f t="shared" si="10"/>
        <v>1952.12</v>
      </c>
      <c r="Q12" s="210">
        <f t="shared" si="11"/>
        <v>5172.817551659361</v>
      </c>
      <c r="R12" s="210"/>
      <c r="V12" s="210">
        <f>MIN(V10,S5)*S7</f>
        <v>431.99999999999994</v>
      </c>
    </row>
    <row r="13" spans="1:30" x14ac:dyDescent="0.2">
      <c r="A13" s="207" t="s">
        <v>249</v>
      </c>
      <c r="B13" s="208">
        <v>1</v>
      </c>
      <c r="C13" s="210">
        <v>3400</v>
      </c>
      <c r="D13" s="224">
        <f t="shared" si="0"/>
        <v>122.39999999999999</v>
      </c>
      <c r="E13" s="224">
        <f t="shared" si="1"/>
        <v>491.64</v>
      </c>
      <c r="F13" s="209">
        <f t="shared" si="2"/>
        <v>2785.96</v>
      </c>
      <c r="G13" s="209">
        <f t="shared" si="3"/>
        <v>2785.96</v>
      </c>
      <c r="H13" s="209">
        <f t="shared" si="4"/>
        <v>570.61831325301227</v>
      </c>
      <c r="I13" s="209">
        <f t="shared" si="5"/>
        <v>3356.5783132530123</v>
      </c>
      <c r="J13" s="210">
        <f t="shared" si="6"/>
        <v>3400</v>
      </c>
      <c r="K13" s="224">
        <f t="shared" si="7"/>
        <v>2171.92</v>
      </c>
      <c r="L13" s="211">
        <f t="shared" si="12"/>
        <v>0.77959482548206005</v>
      </c>
      <c r="M13" s="210">
        <f t="shared" si="13"/>
        <v>3573.5999123356291</v>
      </c>
      <c r="N13" s="210">
        <f t="shared" si="8"/>
        <v>787.63991233562911</v>
      </c>
      <c r="O13" s="210">
        <f t="shared" si="9"/>
        <v>1179.8</v>
      </c>
      <c r="P13" s="210">
        <f t="shared" si="10"/>
        <v>1793.84</v>
      </c>
      <c r="Q13" s="210">
        <f t="shared" si="11"/>
        <v>4753.3999123356289</v>
      </c>
      <c r="R13" s="210"/>
    </row>
    <row r="14" spans="1:30" x14ac:dyDescent="0.2">
      <c r="A14" s="207" t="s">
        <v>231</v>
      </c>
      <c r="B14" s="208">
        <v>1</v>
      </c>
      <c r="C14" s="210">
        <v>3100</v>
      </c>
      <c r="D14" s="224">
        <f t="shared" si="0"/>
        <v>111.6</v>
      </c>
      <c r="E14" s="224">
        <f t="shared" si="1"/>
        <v>448.26</v>
      </c>
      <c r="F14" s="209">
        <f t="shared" si="2"/>
        <v>2540.1400000000003</v>
      </c>
      <c r="G14" s="209">
        <f t="shared" si="3"/>
        <v>2540.1400000000003</v>
      </c>
      <c r="H14" s="209">
        <f t="shared" si="4"/>
        <v>520.26963855421718</v>
      </c>
      <c r="I14" s="209">
        <f t="shared" si="5"/>
        <v>3060.4096385542175</v>
      </c>
      <c r="J14" s="210">
        <f t="shared" si="6"/>
        <v>3100</v>
      </c>
      <c r="K14" s="224">
        <f t="shared" si="7"/>
        <v>1980.2800000000004</v>
      </c>
      <c r="L14" s="211">
        <f t="shared" si="12"/>
        <v>0.77959482548206016</v>
      </c>
      <c r="M14" s="210">
        <f t="shared" si="13"/>
        <v>3258.2822730118974</v>
      </c>
      <c r="N14" s="210">
        <f t="shared" si="8"/>
        <v>718.14227301189703</v>
      </c>
      <c r="O14" s="210">
        <f t="shared" si="9"/>
        <v>1075.6999999999998</v>
      </c>
      <c r="P14" s="210">
        <f t="shared" si="10"/>
        <v>1635.56</v>
      </c>
      <c r="Q14" s="210">
        <f t="shared" si="11"/>
        <v>4333.9822730118976</v>
      </c>
      <c r="R14" s="210"/>
    </row>
    <row r="15" spans="1:30" x14ac:dyDescent="0.2">
      <c r="A15" s="207" t="s">
        <v>250</v>
      </c>
      <c r="B15" s="208">
        <v>4</v>
      </c>
      <c r="C15" s="210">
        <v>3100</v>
      </c>
      <c r="D15" s="224">
        <f t="shared" si="0"/>
        <v>111.6</v>
      </c>
      <c r="E15" s="224">
        <f t="shared" si="1"/>
        <v>448.26</v>
      </c>
      <c r="F15" s="209">
        <f t="shared" si="2"/>
        <v>2540.1400000000003</v>
      </c>
      <c r="G15" s="209">
        <f t="shared" si="3"/>
        <v>10160.560000000001</v>
      </c>
      <c r="H15" s="209">
        <f t="shared" si="4"/>
        <v>2081.0785542168687</v>
      </c>
      <c r="I15" s="209">
        <f t="shared" si="5"/>
        <v>12241.63855421687</v>
      </c>
      <c r="J15" s="210">
        <f t="shared" si="6"/>
        <v>12400</v>
      </c>
      <c r="K15" s="224">
        <f>G15-D15-E15</f>
        <v>9600.7000000000007</v>
      </c>
      <c r="L15" s="211">
        <f t="shared" si="12"/>
        <v>0.94489870637051498</v>
      </c>
      <c r="M15" s="210">
        <f t="shared" si="13"/>
        <v>10753.067954794964</v>
      </c>
      <c r="N15" s="210">
        <f t="shared" si="8"/>
        <v>592.50795479496264</v>
      </c>
      <c r="O15" s="210">
        <f t="shared" si="9"/>
        <v>1075.6999999999998</v>
      </c>
      <c r="P15" s="210">
        <f t="shared" si="10"/>
        <v>1635.56</v>
      </c>
      <c r="Q15" s="210">
        <f t="shared" si="11"/>
        <v>11828.767954794963</v>
      </c>
      <c r="R15" s="210"/>
      <c r="V15" s="210">
        <f>V10-V12</f>
        <v>11568</v>
      </c>
      <c r="W15" s="210">
        <f>W10-AB10</f>
        <v>12180</v>
      </c>
    </row>
    <row r="16" spans="1:30" x14ac:dyDescent="0.2">
      <c r="D16" s="3"/>
      <c r="E16" s="3"/>
      <c r="I16" s="212"/>
      <c r="K16" s="3"/>
    </row>
    <row r="17" spans="1:23" s="203" customFormat="1" x14ac:dyDescent="0.2">
      <c r="A17" s="213" t="s">
        <v>226</v>
      </c>
      <c r="B17" s="214">
        <f>SUM(B5:B16)</f>
        <v>14</v>
      </c>
      <c r="C17" s="215"/>
      <c r="D17" s="225">
        <f>SUM(D5:D16)</f>
        <v>1808.9999999999998</v>
      </c>
      <c r="E17" s="225">
        <f>SUM(E5:E16)</f>
        <v>7266.1500000000005</v>
      </c>
      <c r="F17" s="215"/>
      <c r="G17" s="215">
        <f t="shared" ref="G17:Q17" si="14">SUM(G5:G16)</f>
        <v>48795.26999999999</v>
      </c>
      <c r="H17" s="215">
        <f t="shared" si="14"/>
        <v>9994.2119277108468</v>
      </c>
      <c r="I17" s="215">
        <f t="shared" si="14"/>
        <v>58789.481927710847</v>
      </c>
      <c r="J17" s="215">
        <f t="shared" si="14"/>
        <v>59550</v>
      </c>
      <c r="K17" s="225">
        <f t="shared" si="14"/>
        <v>39720.119999999995</v>
      </c>
      <c r="L17" s="215">
        <f t="shared" si="14"/>
        <v>7.9612521357090547</v>
      </c>
      <c r="M17" s="215">
        <f t="shared" si="14"/>
        <v>59674.808236573299</v>
      </c>
      <c r="N17" s="215">
        <f t="shared" si="14"/>
        <v>10879.538236573298</v>
      </c>
      <c r="O17" s="215">
        <f t="shared" si="14"/>
        <v>17436.749999999996</v>
      </c>
      <c r="P17" s="215">
        <f t="shared" si="14"/>
        <v>26511.899999999998</v>
      </c>
      <c r="Q17" s="215">
        <f t="shared" si="14"/>
        <v>77111.558236573299</v>
      </c>
      <c r="R17" s="207"/>
      <c r="V17" s="210">
        <f>MIN($V$5,(V10-AB10))*$V$7+MAX(0,V10-AB10-$V$5)*$V$8</f>
        <v>1733.2746887966805</v>
      </c>
    </row>
    <row r="18" spans="1:23" hidden="1" outlineLevel="1" x14ac:dyDescent="0.2"/>
    <row r="19" spans="1:23" hidden="1" outlineLevel="1" x14ac:dyDescent="0.2"/>
    <row r="20" spans="1:23" hidden="1" outlineLevel="1" x14ac:dyDescent="0.2"/>
    <row r="21" spans="1:23" hidden="1" outlineLevel="1" x14ac:dyDescent="0.2">
      <c r="W21" s="210">
        <f>W5/(1-$T$7)</f>
        <v>12634.854771784232</v>
      </c>
    </row>
    <row r="22" spans="1:23" hidden="1" outlineLevel="1" x14ac:dyDescent="0.2">
      <c r="V22" s="207">
        <f>1-0.036</f>
        <v>0.96399999999999997</v>
      </c>
      <c r="W22" s="207">
        <f>W21*V22</f>
        <v>12180</v>
      </c>
    </row>
    <row r="23" spans="1:23" hidden="1" outlineLevel="1" x14ac:dyDescent="0.2">
      <c r="V23" s="207">
        <f>1-0.15</f>
        <v>0.85</v>
      </c>
    </row>
    <row r="24" spans="1:23" hidden="1" outlineLevel="1" x14ac:dyDescent="0.2">
      <c r="V24" s="207">
        <f>V23*V22</f>
        <v>0.81939999999999991</v>
      </c>
      <c r="W24" s="210">
        <f>W21*V24</f>
        <v>10352.999999999998</v>
      </c>
    </row>
    <row r="25" spans="1:23" hidden="1" outlineLevel="1" x14ac:dyDescent="0.2"/>
    <row r="26" spans="1:23" hidden="1" outlineLevel="1" x14ac:dyDescent="0.2">
      <c r="W26" s="210">
        <f>W10/(1-$T$7)</f>
        <v>13106.695821352938</v>
      </c>
    </row>
    <row r="27" spans="1:23" hidden="1" outlineLevel="1" x14ac:dyDescent="0.2">
      <c r="V27" s="207">
        <f>1-0.036</f>
        <v>0.96399999999999997</v>
      </c>
      <c r="W27" s="207">
        <f>W26*V27</f>
        <v>12634.854771784232</v>
      </c>
    </row>
    <row r="28" spans="1:23" hidden="1" outlineLevel="1" x14ac:dyDescent="0.2">
      <c r="V28" s="207">
        <f>1-0.17</f>
        <v>0.83</v>
      </c>
    </row>
    <row r="29" spans="1:23" hidden="1" outlineLevel="1" x14ac:dyDescent="0.2">
      <c r="V29" s="207">
        <f>V28*V27</f>
        <v>0.80011999999999994</v>
      </c>
      <c r="W29" s="210">
        <f>W26*V29</f>
        <v>10486.929460580912</v>
      </c>
    </row>
    <row r="30" spans="1:23" hidden="1" outlineLevel="1" x14ac:dyDescent="0.2"/>
    <row r="31" spans="1:23" hidden="1" outlineLevel="1" x14ac:dyDescent="0.2"/>
    <row r="32" spans="1:23" collapsed="1" x14ac:dyDescent="0.2"/>
  </sheetData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activeCell="J29" sqref="J29"/>
    </sheetView>
  </sheetViews>
  <sheetFormatPr defaultRowHeight="12.75" x14ac:dyDescent="0.2"/>
  <cols>
    <col min="1" max="1" width="10.140625" bestFit="1" customWidth="1"/>
    <col min="2" max="2" width="10.140625" style="540" customWidth="1"/>
    <col min="3" max="3" width="10.140625" customWidth="1"/>
    <col min="4" max="4" width="12.5703125" bestFit="1" customWidth="1"/>
    <col min="5" max="6" width="12.5703125" customWidth="1"/>
    <col min="7" max="8" width="12.5703125" bestFit="1" customWidth="1"/>
    <col min="9" max="9" width="16.7109375" bestFit="1" customWidth="1"/>
    <col min="10" max="11" width="22.28515625" style="570" customWidth="1"/>
  </cols>
  <sheetData>
    <row r="1" spans="1:14" x14ac:dyDescent="0.2">
      <c r="B1" s="588"/>
      <c r="C1" s="586"/>
      <c r="D1" s="581" t="s">
        <v>460</v>
      </c>
      <c r="E1" s="576"/>
      <c r="F1" s="576"/>
      <c r="G1" s="576"/>
      <c r="H1" s="576"/>
      <c r="I1" s="576"/>
      <c r="J1" s="603" t="s">
        <v>461</v>
      </c>
      <c r="K1" s="601"/>
    </row>
    <row r="2" spans="1:14" x14ac:dyDescent="0.2">
      <c r="B2" s="589"/>
      <c r="C2" s="37"/>
      <c r="D2" s="582" t="s">
        <v>447</v>
      </c>
      <c r="E2" s="577"/>
      <c r="F2" s="577"/>
      <c r="G2" s="577"/>
      <c r="H2" s="577"/>
      <c r="I2" s="577"/>
      <c r="J2" s="604" t="s">
        <v>454</v>
      </c>
      <c r="K2" s="587"/>
    </row>
    <row r="3" spans="1:14" x14ac:dyDescent="0.2">
      <c r="B3" s="590" t="s">
        <v>462</v>
      </c>
      <c r="C3" s="587"/>
      <c r="D3" s="582" t="s">
        <v>449</v>
      </c>
      <c r="E3" s="577"/>
      <c r="F3" s="577"/>
      <c r="G3" s="577"/>
      <c r="H3" s="577"/>
      <c r="I3" s="577"/>
      <c r="J3" s="604" t="s">
        <v>455</v>
      </c>
      <c r="K3" s="587"/>
    </row>
    <row r="4" spans="1:14" x14ac:dyDescent="0.2">
      <c r="B4" s="590" t="s">
        <v>463</v>
      </c>
      <c r="C4" s="587"/>
      <c r="D4" s="582" t="s">
        <v>448</v>
      </c>
      <c r="E4" s="577"/>
      <c r="F4" s="577"/>
      <c r="G4" s="577"/>
      <c r="H4" s="577"/>
      <c r="I4" s="577"/>
      <c r="J4" s="604" t="s">
        <v>459</v>
      </c>
      <c r="K4" s="587"/>
    </row>
    <row r="5" spans="1:14" x14ac:dyDescent="0.2">
      <c r="B5" s="589"/>
      <c r="C5" s="37"/>
      <c r="D5" s="583" t="s">
        <v>451</v>
      </c>
      <c r="E5" s="578"/>
      <c r="F5" s="578"/>
      <c r="G5" s="578"/>
      <c r="H5" s="578"/>
      <c r="I5" s="578"/>
      <c r="J5" s="604" t="s">
        <v>458</v>
      </c>
      <c r="K5" s="587"/>
    </row>
    <row r="6" spans="1:14" s="569" customFormat="1" x14ac:dyDescent="0.2">
      <c r="B6" s="591" t="s">
        <v>163</v>
      </c>
      <c r="C6" s="573" t="s">
        <v>464</v>
      </c>
      <c r="D6" s="579" t="s">
        <v>465</v>
      </c>
      <c r="E6" s="584" t="s">
        <v>450</v>
      </c>
      <c r="F6" s="584" t="s">
        <v>467</v>
      </c>
      <c r="G6" s="584" t="s">
        <v>453</v>
      </c>
      <c r="H6" s="584" t="s">
        <v>468</v>
      </c>
      <c r="I6" s="574" t="s">
        <v>469</v>
      </c>
      <c r="J6" s="604" t="s">
        <v>457</v>
      </c>
      <c r="K6" s="587"/>
    </row>
    <row r="7" spans="1:14" s="569" customFormat="1" x14ac:dyDescent="0.2">
      <c r="A7" s="575"/>
      <c r="B7" s="592"/>
      <c r="C7" s="575"/>
      <c r="D7" s="580" t="s">
        <v>452</v>
      </c>
      <c r="E7" s="585" t="s">
        <v>452</v>
      </c>
      <c r="F7" s="585" t="s">
        <v>452</v>
      </c>
      <c r="G7" s="585" t="s">
        <v>452</v>
      </c>
      <c r="H7" s="585" t="s">
        <v>452</v>
      </c>
      <c r="I7" s="575"/>
      <c r="J7" s="605" t="s">
        <v>456</v>
      </c>
      <c r="K7" s="602"/>
    </row>
    <row r="8" spans="1:14" x14ac:dyDescent="0.2">
      <c r="A8" s="609">
        <v>41760</v>
      </c>
      <c r="B8" s="610">
        <v>749</v>
      </c>
      <c r="C8" s="611">
        <v>41782</v>
      </c>
      <c r="D8" s="13">
        <v>23.7</v>
      </c>
      <c r="E8" s="13">
        <v>23.7</v>
      </c>
      <c r="F8" s="597">
        <v>23.7</v>
      </c>
      <c r="G8" s="595">
        <v>32.22</v>
      </c>
      <c r="H8" s="598">
        <v>32.22</v>
      </c>
      <c r="I8" s="594">
        <v>134.03</v>
      </c>
      <c r="J8" s="571">
        <v>41.94</v>
      </c>
      <c r="K8" s="606">
        <v>32.22</v>
      </c>
      <c r="L8" s="612" t="s">
        <v>466</v>
      </c>
      <c r="M8" s="613" t="s">
        <v>470</v>
      </c>
      <c r="N8" s="613" t="s">
        <v>471</v>
      </c>
    </row>
    <row r="9" spans="1:14" x14ac:dyDescent="0.2">
      <c r="A9" s="609">
        <v>42095</v>
      </c>
      <c r="B9" s="593">
        <v>220</v>
      </c>
      <c r="C9" s="596">
        <v>42061</v>
      </c>
      <c r="D9" s="13">
        <v>36.6</v>
      </c>
      <c r="E9" s="38">
        <v>36.6</v>
      </c>
      <c r="F9" s="595">
        <v>63</v>
      </c>
      <c r="G9" s="599">
        <v>63</v>
      </c>
      <c r="H9" s="13">
        <v>140.69999999999999</v>
      </c>
      <c r="I9" s="38">
        <v>140.69999999999999</v>
      </c>
      <c r="J9" s="607">
        <v>63</v>
      </c>
      <c r="K9" s="608">
        <v>63</v>
      </c>
      <c r="L9" s="460" t="s">
        <v>472</v>
      </c>
      <c r="M9" s="37" t="s">
        <v>473</v>
      </c>
    </row>
    <row r="10" spans="1:14" x14ac:dyDescent="0.2">
      <c r="A10" s="609">
        <v>42248</v>
      </c>
      <c r="B10" s="593">
        <v>220</v>
      </c>
      <c r="C10" s="596">
        <v>42061</v>
      </c>
      <c r="D10" s="13">
        <v>45.6</v>
      </c>
      <c r="E10" s="38">
        <v>45.6</v>
      </c>
      <c r="F10" s="595">
        <v>78.900000000000006</v>
      </c>
      <c r="G10" s="599">
        <v>78.900000000000006</v>
      </c>
      <c r="H10" s="572">
        <v>147.9</v>
      </c>
      <c r="I10" s="600">
        <v>147.9</v>
      </c>
      <c r="J10" s="607">
        <v>78.900000000000006</v>
      </c>
      <c r="K10" s="608">
        <v>78.900000000000006</v>
      </c>
      <c r="L10" s="460" t="s">
        <v>472</v>
      </c>
      <c r="M10" s="37" t="s">
        <v>473</v>
      </c>
    </row>
    <row r="11" spans="1:14" x14ac:dyDescent="0.2">
      <c r="A11" s="609">
        <v>42430</v>
      </c>
      <c r="B11" s="593">
        <v>220</v>
      </c>
      <c r="C11" s="596">
        <v>42061</v>
      </c>
      <c r="D11" s="13">
        <v>57</v>
      </c>
      <c r="E11" s="38">
        <v>57</v>
      </c>
      <c r="F11" s="595">
        <v>99</v>
      </c>
      <c r="G11" s="599">
        <v>99</v>
      </c>
      <c r="H11" s="13">
        <v>156</v>
      </c>
      <c r="I11" s="38">
        <v>156</v>
      </c>
      <c r="J11" s="607">
        <v>99</v>
      </c>
      <c r="K11" s="608">
        <v>99</v>
      </c>
      <c r="L11" s="460" t="s">
        <v>472</v>
      </c>
      <c r="M11" s="37" t="s">
        <v>473</v>
      </c>
    </row>
    <row r="12" spans="1:14" x14ac:dyDescent="0.2">
      <c r="A12" s="609">
        <v>42614</v>
      </c>
      <c r="B12" s="593">
        <v>220</v>
      </c>
      <c r="C12" s="596">
        <v>42061</v>
      </c>
      <c r="D12" s="13">
        <v>71.400000000000006</v>
      </c>
      <c r="E12" s="465">
        <v>71.400000000000006</v>
      </c>
      <c r="F12" s="595">
        <v>129</v>
      </c>
      <c r="G12" s="599">
        <v>129</v>
      </c>
      <c r="H12" s="13">
        <v>163.80000000000001</v>
      </c>
      <c r="I12" s="38">
        <v>163.80000000000001</v>
      </c>
      <c r="J12" s="607">
        <v>129</v>
      </c>
      <c r="K12" s="608">
        <v>129</v>
      </c>
      <c r="L12" s="615" t="s">
        <v>472</v>
      </c>
      <c r="M12" s="42" t="s">
        <v>473</v>
      </c>
    </row>
    <row r="13" spans="1:14" x14ac:dyDescent="0.2">
      <c r="A13" s="616">
        <v>42795</v>
      </c>
      <c r="B13" s="617">
        <v>220</v>
      </c>
      <c r="C13" s="618">
        <v>42061</v>
      </c>
      <c r="D13" s="619">
        <v>90</v>
      </c>
      <c r="E13" s="620">
        <v>168</v>
      </c>
      <c r="F13" s="620">
        <v>168</v>
      </c>
      <c r="G13" s="621">
        <v>168</v>
      </c>
      <c r="H13" s="41">
        <v>168</v>
      </c>
      <c r="I13" s="465">
        <v>168</v>
      </c>
      <c r="J13" s="622">
        <v>168</v>
      </c>
      <c r="K13" s="465">
        <v>168</v>
      </c>
      <c r="L13" s="615" t="s">
        <v>474</v>
      </c>
      <c r="M13" s="614" t="s">
        <v>475</v>
      </c>
    </row>
    <row r="14" spans="1:14" x14ac:dyDescent="0.2">
      <c r="A14" s="609">
        <v>41760</v>
      </c>
    </row>
    <row r="15" spans="1:14" x14ac:dyDescent="0.2">
      <c r="A15" s="609">
        <v>42095</v>
      </c>
      <c r="D15" s="13">
        <f>D9-D8</f>
        <v>12.900000000000002</v>
      </c>
      <c r="E15" s="13">
        <f t="shared" ref="E15:K15" si="0">E9-E8</f>
        <v>12.900000000000002</v>
      </c>
      <c r="F15" s="13">
        <f t="shared" si="0"/>
        <v>39.299999999999997</v>
      </c>
      <c r="G15" s="13">
        <f t="shared" si="0"/>
        <v>30.78</v>
      </c>
      <c r="H15" s="13">
        <f t="shared" si="0"/>
        <v>108.47999999999999</v>
      </c>
      <c r="I15" s="13">
        <f t="shared" si="0"/>
        <v>6.6699999999999875</v>
      </c>
      <c r="J15" s="13">
        <f t="shared" si="0"/>
        <v>21.060000000000002</v>
      </c>
      <c r="K15" s="13">
        <f t="shared" si="0"/>
        <v>30.78</v>
      </c>
    </row>
    <row r="16" spans="1:14" x14ac:dyDescent="0.2">
      <c r="A16" s="609">
        <v>42248</v>
      </c>
      <c r="D16" s="13">
        <f t="shared" ref="D16:K16" si="1">D10-D9</f>
        <v>9</v>
      </c>
      <c r="E16" s="13">
        <f t="shared" si="1"/>
        <v>9</v>
      </c>
      <c r="F16" s="13">
        <f t="shared" si="1"/>
        <v>15.900000000000006</v>
      </c>
      <c r="G16" s="13">
        <f t="shared" si="1"/>
        <v>15.900000000000006</v>
      </c>
      <c r="H16" s="13">
        <f t="shared" si="1"/>
        <v>7.2000000000000171</v>
      </c>
      <c r="I16" s="13">
        <f t="shared" si="1"/>
        <v>7.2000000000000171</v>
      </c>
      <c r="J16" s="13">
        <f t="shared" si="1"/>
        <v>15.900000000000006</v>
      </c>
      <c r="K16" s="13">
        <f t="shared" si="1"/>
        <v>15.900000000000006</v>
      </c>
    </row>
    <row r="17" spans="1:11" x14ac:dyDescent="0.2">
      <c r="A17" s="609">
        <v>42430</v>
      </c>
      <c r="D17" s="13">
        <f t="shared" ref="D17:K17" si="2">D11-D10</f>
        <v>11.399999999999999</v>
      </c>
      <c r="E17" s="13">
        <f t="shared" si="2"/>
        <v>11.399999999999999</v>
      </c>
      <c r="F17" s="13">
        <f t="shared" si="2"/>
        <v>20.099999999999994</v>
      </c>
      <c r="G17" s="13">
        <f t="shared" si="2"/>
        <v>20.099999999999994</v>
      </c>
      <c r="H17" s="13">
        <f t="shared" si="2"/>
        <v>8.0999999999999943</v>
      </c>
      <c r="I17" s="13">
        <f t="shared" si="2"/>
        <v>8.0999999999999943</v>
      </c>
      <c r="J17" s="13">
        <f t="shared" si="2"/>
        <v>20.099999999999994</v>
      </c>
      <c r="K17" s="13">
        <f t="shared" si="2"/>
        <v>20.099999999999994</v>
      </c>
    </row>
    <row r="18" spans="1:11" x14ac:dyDescent="0.2">
      <c r="A18" s="609">
        <v>42614</v>
      </c>
      <c r="D18" s="13">
        <f t="shared" ref="D18:K18" si="3">D12-D11</f>
        <v>14.400000000000006</v>
      </c>
      <c r="E18" s="13">
        <f t="shared" si="3"/>
        <v>14.400000000000006</v>
      </c>
      <c r="F18" s="13">
        <f t="shared" si="3"/>
        <v>30</v>
      </c>
      <c r="G18" s="13">
        <f t="shared" si="3"/>
        <v>30</v>
      </c>
      <c r="H18" s="13">
        <f t="shared" si="3"/>
        <v>7.8000000000000114</v>
      </c>
      <c r="I18" s="13">
        <f t="shared" si="3"/>
        <v>7.8000000000000114</v>
      </c>
      <c r="J18" s="13">
        <f t="shared" si="3"/>
        <v>30</v>
      </c>
      <c r="K18" s="13">
        <f t="shared" si="3"/>
        <v>30</v>
      </c>
    </row>
    <row r="19" spans="1:11" s="40" customFormat="1" x14ac:dyDescent="0.2">
      <c r="A19" s="616">
        <v>42795</v>
      </c>
      <c r="B19" s="50"/>
      <c r="D19" s="41">
        <f t="shared" ref="D19:K19" si="4">D13-D12</f>
        <v>18.599999999999994</v>
      </c>
      <c r="E19" s="41">
        <f t="shared" si="4"/>
        <v>96.6</v>
      </c>
      <c r="F19" s="41">
        <f t="shared" si="4"/>
        <v>39</v>
      </c>
      <c r="G19" s="41">
        <f t="shared" si="4"/>
        <v>39</v>
      </c>
      <c r="H19" s="41">
        <f t="shared" si="4"/>
        <v>4.1999999999999886</v>
      </c>
      <c r="I19" s="41">
        <f t="shared" si="4"/>
        <v>4.1999999999999886</v>
      </c>
      <c r="J19" s="41">
        <f t="shared" si="4"/>
        <v>39</v>
      </c>
      <c r="K19" s="41">
        <f t="shared" si="4"/>
        <v>39</v>
      </c>
    </row>
    <row r="20" spans="1:11" s="46" customFormat="1" x14ac:dyDescent="0.2">
      <c r="A20" s="609">
        <v>41760</v>
      </c>
      <c r="B20" s="491"/>
      <c r="D20" s="48"/>
      <c r="E20" s="48"/>
      <c r="F20" s="48"/>
      <c r="G20" s="48"/>
      <c r="H20" s="48"/>
      <c r="I20" s="48"/>
      <c r="J20" s="48"/>
      <c r="K20" s="48"/>
    </row>
    <row r="21" spans="1:11" s="46" customFormat="1" x14ac:dyDescent="0.2">
      <c r="A21" s="609">
        <v>42095</v>
      </c>
      <c r="B21" s="491"/>
      <c r="D21" s="623">
        <f>D9/D8-1</f>
        <v>0.54430379746835444</v>
      </c>
      <c r="E21" s="623">
        <f t="shared" ref="E21:K21" si="5">E9/E8-1</f>
        <v>0.54430379746835444</v>
      </c>
      <c r="F21" s="623">
        <f t="shared" si="5"/>
        <v>1.6582278481012658</v>
      </c>
      <c r="G21" s="623">
        <f t="shared" si="5"/>
        <v>0.95530726256983245</v>
      </c>
      <c r="H21" s="623">
        <f t="shared" si="5"/>
        <v>3.366852886405959</v>
      </c>
      <c r="I21" s="623">
        <f t="shared" si="5"/>
        <v>4.9764977990002235E-2</v>
      </c>
      <c r="J21" s="623">
        <f t="shared" si="5"/>
        <v>0.50214592274678127</v>
      </c>
      <c r="K21" s="623">
        <f t="shared" si="5"/>
        <v>0.95530726256983245</v>
      </c>
    </row>
    <row r="22" spans="1:11" s="46" customFormat="1" x14ac:dyDescent="0.2">
      <c r="A22" s="609">
        <v>42248</v>
      </c>
      <c r="B22" s="491"/>
      <c r="D22" s="623">
        <f t="shared" ref="D22:K25" si="6">D10/D9-1</f>
        <v>0.24590163934426235</v>
      </c>
      <c r="E22" s="623">
        <f t="shared" si="6"/>
        <v>0.24590163934426235</v>
      </c>
      <c r="F22" s="623">
        <f t="shared" si="6"/>
        <v>0.25238095238095237</v>
      </c>
      <c r="G22" s="623">
        <f t="shared" si="6"/>
        <v>0.25238095238095237</v>
      </c>
      <c r="H22" s="623">
        <f t="shared" si="6"/>
        <v>5.1172707889125979E-2</v>
      </c>
      <c r="I22" s="623">
        <f t="shared" si="6"/>
        <v>5.1172707889125979E-2</v>
      </c>
      <c r="J22" s="623">
        <f t="shared" si="6"/>
        <v>0.25238095238095237</v>
      </c>
      <c r="K22" s="623">
        <f t="shared" si="6"/>
        <v>0.25238095238095237</v>
      </c>
    </row>
    <row r="23" spans="1:11" s="46" customFormat="1" x14ac:dyDescent="0.2">
      <c r="A23" s="609">
        <v>42430</v>
      </c>
      <c r="B23" s="491"/>
      <c r="D23" s="623">
        <f t="shared" si="6"/>
        <v>0.25</v>
      </c>
      <c r="E23" s="623">
        <f t="shared" si="6"/>
        <v>0.25</v>
      </c>
      <c r="F23" s="623">
        <f t="shared" si="6"/>
        <v>0.25475285171102646</v>
      </c>
      <c r="G23" s="623">
        <f t="shared" si="6"/>
        <v>0.25475285171102646</v>
      </c>
      <c r="H23" s="623">
        <f t="shared" si="6"/>
        <v>5.4766734279918738E-2</v>
      </c>
      <c r="I23" s="623">
        <f t="shared" si="6"/>
        <v>5.4766734279918738E-2</v>
      </c>
      <c r="J23" s="623">
        <f t="shared" si="6"/>
        <v>0.25475285171102646</v>
      </c>
      <c r="K23" s="623">
        <f t="shared" si="6"/>
        <v>0.25475285171102646</v>
      </c>
    </row>
    <row r="24" spans="1:11" s="46" customFormat="1" x14ac:dyDescent="0.2">
      <c r="A24" s="609">
        <v>42614</v>
      </c>
      <c r="B24" s="491"/>
      <c r="D24" s="623">
        <f t="shared" si="6"/>
        <v>0.25263157894736854</v>
      </c>
      <c r="E24" s="623">
        <f t="shared" si="6"/>
        <v>0.25263157894736854</v>
      </c>
      <c r="F24" s="623">
        <f t="shared" si="6"/>
        <v>0.30303030303030298</v>
      </c>
      <c r="G24" s="623">
        <f t="shared" si="6"/>
        <v>0.30303030303030298</v>
      </c>
      <c r="H24" s="623">
        <f t="shared" si="6"/>
        <v>5.0000000000000044E-2</v>
      </c>
      <c r="I24" s="623">
        <f t="shared" si="6"/>
        <v>5.0000000000000044E-2</v>
      </c>
      <c r="J24" s="623">
        <f t="shared" si="6"/>
        <v>0.30303030303030298</v>
      </c>
      <c r="K24" s="623">
        <f t="shared" si="6"/>
        <v>0.30303030303030298</v>
      </c>
    </row>
    <row r="25" spans="1:11" s="40" customFormat="1" x14ac:dyDescent="0.2">
      <c r="A25" s="616">
        <v>42795</v>
      </c>
      <c r="B25" s="50"/>
      <c r="D25" s="624">
        <f t="shared" si="6"/>
        <v>0.26050420168067223</v>
      </c>
      <c r="E25" s="624">
        <f t="shared" si="6"/>
        <v>1.3529411764705879</v>
      </c>
      <c r="F25" s="624">
        <f t="shared" si="6"/>
        <v>0.30232558139534893</v>
      </c>
      <c r="G25" s="624">
        <f t="shared" si="6"/>
        <v>0.30232558139534893</v>
      </c>
      <c r="H25" s="624">
        <f t="shared" si="6"/>
        <v>2.564102564102555E-2</v>
      </c>
      <c r="I25" s="624">
        <f t="shared" si="6"/>
        <v>2.564102564102555E-2</v>
      </c>
      <c r="J25" s="624">
        <f t="shared" si="6"/>
        <v>0.30232558139534893</v>
      </c>
      <c r="K25" s="624">
        <f t="shared" si="6"/>
        <v>0.30232558139534893</v>
      </c>
    </row>
    <row r="26" spans="1:11" s="46" customFormat="1" x14ac:dyDescent="0.2">
      <c r="A26" s="609">
        <v>41760</v>
      </c>
      <c r="B26" s="491"/>
      <c r="J26" s="625"/>
      <c r="K26" s="625"/>
    </row>
    <row r="27" spans="1:11" s="46" customFormat="1" x14ac:dyDescent="0.2">
      <c r="A27" s="609">
        <v>42095</v>
      </c>
      <c r="B27" s="491"/>
      <c r="D27" s="623">
        <f>D9/D$8-1</f>
        <v>0.54430379746835444</v>
      </c>
      <c r="E27" s="623">
        <f t="shared" ref="E27:K27" si="7">E9/E$8-1</f>
        <v>0.54430379746835444</v>
      </c>
      <c r="F27" s="623">
        <f t="shared" si="7"/>
        <v>1.6582278481012658</v>
      </c>
      <c r="G27" s="623">
        <f t="shared" si="7"/>
        <v>0.95530726256983245</v>
      </c>
      <c r="H27" s="623">
        <f t="shared" si="7"/>
        <v>3.366852886405959</v>
      </c>
      <c r="I27" s="623">
        <f t="shared" si="7"/>
        <v>4.9764977990002235E-2</v>
      </c>
      <c r="J27" s="623">
        <f t="shared" si="7"/>
        <v>0.50214592274678127</v>
      </c>
      <c r="K27" s="623">
        <f t="shared" si="7"/>
        <v>0.95530726256983245</v>
      </c>
    </row>
    <row r="28" spans="1:11" s="46" customFormat="1" x14ac:dyDescent="0.2">
      <c r="A28" s="609">
        <v>42248</v>
      </c>
      <c r="B28" s="491"/>
      <c r="D28" s="623">
        <f t="shared" ref="D28:K28" si="8">D10/D$8-1</f>
        <v>0.92405063291139244</v>
      </c>
      <c r="E28" s="623">
        <f t="shared" si="8"/>
        <v>0.92405063291139244</v>
      </c>
      <c r="F28" s="623">
        <f t="shared" si="8"/>
        <v>2.3291139240506333</v>
      </c>
      <c r="G28" s="623">
        <f t="shared" si="8"/>
        <v>1.4487895716945998</v>
      </c>
      <c r="H28" s="623">
        <f t="shared" si="8"/>
        <v>3.5903165735567972</v>
      </c>
      <c r="I28" s="623">
        <f t="shared" si="8"/>
        <v>0.10348429456091912</v>
      </c>
      <c r="J28" s="623">
        <f t="shared" si="8"/>
        <v>0.88125894134477845</v>
      </c>
      <c r="K28" s="623">
        <f t="shared" si="8"/>
        <v>1.4487895716945998</v>
      </c>
    </row>
    <row r="29" spans="1:11" s="46" customFormat="1" x14ac:dyDescent="0.2">
      <c r="A29" s="609">
        <v>42430</v>
      </c>
      <c r="B29" s="491"/>
      <c r="D29" s="623">
        <f t="shared" ref="D29:K29" si="9">D11/D$8-1</f>
        <v>1.4050632911392404</v>
      </c>
      <c r="E29" s="623">
        <f t="shared" si="9"/>
        <v>1.4050632911392404</v>
      </c>
      <c r="F29" s="623">
        <f t="shared" si="9"/>
        <v>3.1772151898734178</v>
      </c>
      <c r="G29" s="623">
        <f t="shared" si="9"/>
        <v>2.0726256983240225</v>
      </c>
      <c r="H29" s="623">
        <f t="shared" si="9"/>
        <v>3.8417132216014895</v>
      </c>
      <c r="I29" s="623">
        <f t="shared" si="9"/>
        <v>0.16391852570320076</v>
      </c>
      <c r="J29" s="623">
        <f t="shared" si="9"/>
        <v>1.3605150214592276</v>
      </c>
      <c r="K29" s="623">
        <f t="shared" si="9"/>
        <v>2.0726256983240225</v>
      </c>
    </row>
    <row r="30" spans="1:11" s="46" customFormat="1" x14ac:dyDescent="0.2">
      <c r="A30" s="609">
        <v>42614</v>
      </c>
      <c r="B30" s="491"/>
      <c r="D30" s="623">
        <f t="shared" ref="D30:K30" si="10">D12/D$8-1</f>
        <v>2.0126582278481018</v>
      </c>
      <c r="E30" s="623">
        <f t="shared" si="10"/>
        <v>2.0126582278481018</v>
      </c>
      <c r="F30" s="623">
        <f t="shared" si="10"/>
        <v>4.4430379746835449</v>
      </c>
      <c r="G30" s="623">
        <f t="shared" si="10"/>
        <v>3.0037243947858476</v>
      </c>
      <c r="H30" s="623">
        <f t="shared" si="10"/>
        <v>4.083798882681565</v>
      </c>
      <c r="I30" s="623">
        <f t="shared" si="10"/>
        <v>0.22211445198836088</v>
      </c>
      <c r="J30" s="623">
        <f t="shared" si="10"/>
        <v>2.0758226037195997</v>
      </c>
      <c r="K30" s="623">
        <f t="shared" si="10"/>
        <v>3.0037243947858476</v>
      </c>
    </row>
    <row r="31" spans="1:11" s="40" customFormat="1" x14ac:dyDescent="0.2">
      <c r="A31" s="616">
        <v>42795</v>
      </c>
      <c r="B31" s="50"/>
      <c r="D31" s="624">
        <f t="shared" ref="D31:K31" si="11">D13/D$8-1</f>
        <v>2.79746835443038</v>
      </c>
      <c r="E31" s="624">
        <f t="shared" si="11"/>
        <v>6.0886075949367093</v>
      </c>
      <c r="F31" s="624">
        <f t="shared" si="11"/>
        <v>6.0886075949367093</v>
      </c>
      <c r="G31" s="624">
        <f t="shared" si="11"/>
        <v>4.2141527001862196</v>
      </c>
      <c r="H31" s="624">
        <f t="shared" si="11"/>
        <v>4.2141527001862196</v>
      </c>
      <c r="I31" s="624">
        <f t="shared" si="11"/>
        <v>0.25345071998806246</v>
      </c>
      <c r="J31" s="624">
        <f t="shared" si="11"/>
        <v>3.0057224606580828</v>
      </c>
      <c r="K31" s="624">
        <f t="shared" si="11"/>
        <v>4.2141527001862196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4"/>
  <sheetViews>
    <sheetView zoomScale="80" zoomScaleNormal="80" workbookViewId="0">
      <pane xSplit="2" ySplit="4" topLeftCell="Q5" activePane="bottomRight" state="frozen"/>
      <selection pane="topRight" activeCell="C1" sqref="C1"/>
      <selection pane="bottomLeft" activeCell="A5" sqref="A5"/>
      <selection pane="bottomRight" activeCell="AU10" sqref="AU10"/>
    </sheetView>
  </sheetViews>
  <sheetFormatPr defaultRowHeight="12.75" outlineLevelCol="1" x14ac:dyDescent="0.2"/>
  <cols>
    <col min="1" max="1" width="41.7109375" style="67" customWidth="1"/>
    <col min="2" max="2" width="55" style="65" hidden="1" customWidth="1"/>
    <col min="3" max="3" width="10.28515625" style="65" customWidth="1"/>
    <col min="4" max="4" width="12.28515625" style="65" hidden="1" customWidth="1" outlineLevel="1"/>
    <col min="5" max="5" width="7.140625" style="65" customWidth="1" collapsed="1"/>
    <col min="6" max="6" width="7.140625" style="65" customWidth="1"/>
    <col min="7" max="7" width="7.5703125" style="65" customWidth="1"/>
    <col min="8" max="9" width="9.28515625" style="65" bestFit="1" customWidth="1"/>
    <col min="10" max="10" width="10.140625" style="65" bestFit="1" customWidth="1"/>
    <col min="11" max="11" width="9.140625" style="65" bestFit="1"/>
    <col min="12" max="12" width="8" style="65" customWidth="1"/>
    <col min="13" max="13" width="8.7109375" style="65" customWidth="1"/>
    <col min="14" max="14" width="7.140625" style="65" customWidth="1"/>
    <col min="15" max="15" width="7.140625" style="65" hidden="1" customWidth="1" outlineLevel="1"/>
    <col min="16" max="16" width="9.28515625" style="65" hidden="1" customWidth="1" outlineLevel="1"/>
    <col min="17" max="17" width="6.85546875" style="65" bestFit="1" customWidth="1" collapsed="1"/>
    <col min="18" max="18" width="7.28515625" style="65" bestFit="1" customWidth="1"/>
    <col min="19" max="19" width="8.140625" style="65" customWidth="1"/>
    <col min="20" max="20" width="7.42578125" style="65" customWidth="1"/>
    <col min="21" max="21" width="10" style="65" customWidth="1"/>
    <col min="22" max="22" width="11.5703125" style="65" bestFit="1" customWidth="1"/>
    <col min="23" max="23" width="7.85546875" style="65" customWidth="1"/>
    <col min="24" max="24" width="7.140625" style="65" bestFit="1" customWidth="1"/>
    <col min="25" max="25" width="7.5703125" style="65" customWidth="1"/>
    <col min="26" max="26" width="8.7109375" style="65" customWidth="1"/>
    <col min="27" max="27" width="7.7109375" style="65" customWidth="1"/>
    <col min="28" max="28" width="7.85546875" style="65" customWidth="1"/>
    <col min="29" max="29" width="8" style="65" bestFit="1" customWidth="1"/>
    <col min="30" max="30" width="8.7109375" style="65" customWidth="1"/>
    <col min="31" max="31" width="8.28515625" style="65" bestFit="1" customWidth="1"/>
    <col min="32" max="32" width="7.5703125" style="65" customWidth="1"/>
    <col min="33" max="33" width="9.28515625" style="65" customWidth="1"/>
    <col min="34" max="34" width="8.42578125" style="65" customWidth="1"/>
    <col min="35" max="35" width="7.7109375" style="65" bestFit="1" customWidth="1"/>
    <col min="36" max="36" width="7.85546875" style="65" bestFit="1" customWidth="1"/>
    <col min="37" max="37" width="10.140625" style="65" bestFit="1" customWidth="1"/>
    <col min="38" max="38" width="8.42578125" style="62" customWidth="1"/>
    <col min="39" max="39" width="6.7109375" style="65" bestFit="1" customWidth="1"/>
    <col min="40" max="40" width="8.28515625" style="61" customWidth="1"/>
    <col min="41" max="41" width="7" style="61" bestFit="1" customWidth="1"/>
    <col min="42" max="42" width="8.42578125" style="62" customWidth="1"/>
    <col min="43" max="43" width="6.7109375" style="65" bestFit="1" customWidth="1"/>
    <col min="44" max="44" width="8.28515625" style="61" customWidth="1"/>
    <col min="45" max="45" width="7" style="61" bestFit="1" customWidth="1"/>
    <col min="46" max="46" width="9.140625" style="65"/>
    <col min="47" max="47" width="10.7109375" style="513" bestFit="1" customWidth="1"/>
    <col min="48" max="16384" width="9.140625" style="65"/>
  </cols>
  <sheetData>
    <row r="1" spans="1:47" s="61" customFormat="1" x14ac:dyDescent="0.2">
      <c r="A1" s="303">
        <f>SUM(C1:AP1)</f>
        <v>22.308787515176796</v>
      </c>
      <c r="B1" s="304"/>
      <c r="C1" s="305">
        <f t="shared" ref="C1:AK1" si="0">1-SUM(C6:C22)</f>
        <v>1</v>
      </c>
      <c r="D1" s="305">
        <f t="shared" si="0"/>
        <v>1</v>
      </c>
      <c r="E1" s="305">
        <f>1-SUM(E6:E22)</f>
        <v>1</v>
      </c>
      <c r="F1" s="305">
        <f t="shared" si="0"/>
        <v>1</v>
      </c>
      <c r="G1" s="305">
        <f t="shared" si="0"/>
        <v>1</v>
      </c>
      <c r="H1" s="305">
        <f t="shared" si="0"/>
        <v>0</v>
      </c>
      <c r="I1" s="305">
        <f t="shared" si="0"/>
        <v>0</v>
      </c>
      <c r="J1" s="305">
        <f t="shared" si="0"/>
        <v>0</v>
      </c>
      <c r="K1" s="305">
        <f t="shared" si="0"/>
        <v>0</v>
      </c>
      <c r="L1" s="305">
        <f t="shared" si="0"/>
        <v>1</v>
      </c>
      <c r="M1" s="305">
        <f t="shared" si="0"/>
        <v>0</v>
      </c>
      <c r="N1" s="305">
        <f t="shared" si="0"/>
        <v>0</v>
      </c>
      <c r="O1" s="273">
        <f t="shared" si="0"/>
        <v>1</v>
      </c>
      <c r="P1" s="305">
        <f t="shared" si="0"/>
        <v>1</v>
      </c>
      <c r="Q1" s="305">
        <f t="shared" si="0"/>
        <v>0</v>
      </c>
      <c r="R1" s="305">
        <f t="shared" si="0"/>
        <v>0</v>
      </c>
      <c r="S1" s="305">
        <f>1-SUM(S6:S22)</f>
        <v>0</v>
      </c>
      <c r="T1" s="305">
        <f t="shared" si="0"/>
        <v>0</v>
      </c>
      <c r="U1" s="305">
        <f>1-SUM(U6:U22)</f>
        <v>1</v>
      </c>
      <c r="V1" s="305">
        <f>1-SUM(V6:V22)</f>
        <v>1</v>
      </c>
      <c r="W1" s="305">
        <f>1-SUM(W6:W22)</f>
        <v>0</v>
      </c>
      <c r="X1" s="305">
        <f t="shared" si="0"/>
        <v>0</v>
      </c>
      <c r="Y1" s="305">
        <f t="shared" si="0"/>
        <v>0</v>
      </c>
      <c r="Z1" s="305">
        <f t="shared" si="0"/>
        <v>0</v>
      </c>
      <c r="AA1" s="305">
        <f t="shared" si="0"/>
        <v>0</v>
      </c>
      <c r="AB1" s="305">
        <f t="shared" si="0"/>
        <v>1</v>
      </c>
      <c r="AC1" s="305">
        <f t="shared" si="0"/>
        <v>1</v>
      </c>
      <c r="AD1" s="305">
        <f t="shared" si="0"/>
        <v>1</v>
      </c>
      <c r="AE1" s="305">
        <f t="shared" si="0"/>
        <v>1</v>
      </c>
      <c r="AF1" s="305">
        <f t="shared" si="0"/>
        <v>1</v>
      </c>
      <c r="AG1" s="305">
        <f t="shared" si="0"/>
        <v>1</v>
      </c>
      <c r="AH1" s="305">
        <f t="shared" si="0"/>
        <v>1</v>
      </c>
      <c r="AI1" s="269">
        <f t="shared" si="0"/>
        <v>1</v>
      </c>
      <c r="AJ1" s="305">
        <f t="shared" si="0"/>
        <v>0</v>
      </c>
      <c r="AK1" s="305">
        <f t="shared" si="0"/>
        <v>0</v>
      </c>
      <c r="AL1" s="271">
        <f>SUMPRODUCT($C$3:$AK$3,$C$1:$AK$1)</f>
        <v>2.1543937575883967</v>
      </c>
      <c r="AM1" s="304"/>
      <c r="AN1" s="304"/>
      <c r="AO1" s="304"/>
      <c r="AP1" s="271">
        <f>SUMPRODUCT($C$4:$AK$4,C1:AK1)</f>
        <v>2.1543937575883967</v>
      </c>
      <c r="AQ1" s="304"/>
      <c r="AR1" s="304"/>
      <c r="AS1" s="304"/>
      <c r="AU1" s="513"/>
    </row>
    <row r="2" spans="1:47" s="69" customFormat="1" ht="73.5" customHeight="1" x14ac:dyDescent="0.2">
      <c r="A2" s="306" t="s">
        <v>3</v>
      </c>
      <c r="B2" s="306" t="s">
        <v>165</v>
      </c>
      <c r="C2" s="482" t="str">
        <f>'2015-1'!$B$14</f>
        <v>Виконавчий директор / головний інженер</v>
      </c>
      <c r="D2" s="306" t="str">
        <f>'2015-1'!$B$15</f>
        <v>Директор з організаційних питань</v>
      </c>
      <c r="E2" s="306" t="str">
        <f>'2015-1'!$B$16</f>
        <v>Начальник дільниці</v>
      </c>
      <c r="F2" s="306" t="str">
        <f>'2015-1'!$B$17</f>
        <v>Головний бухгалтер</v>
      </c>
      <c r="G2" s="306" t="str">
        <f>'2015-1'!$B$18</f>
        <v>Бухгалтер</v>
      </c>
      <c r="H2" s="306" t="str">
        <f>'2015-1'!$B$19</f>
        <v>Електрик-механік</v>
      </c>
      <c r="I2" s="306" t="str">
        <f>'2015-1'!$B$20</f>
        <v>Електрик-ліфтер</v>
      </c>
      <c r="J2" s="306" t="str">
        <f>'2015-1'!$B$21</f>
        <v>Сантехнік-зварювальник</v>
      </c>
      <c r="K2" s="306" t="str">
        <f>'2015-1'!$B$22</f>
        <v>Слюсар-сантехнік</v>
      </c>
      <c r="L2" s="306" t="str">
        <f>'2015-1'!$B$23</f>
        <v>Диспетчер</v>
      </c>
      <c r="M2" s="306" t="str">
        <f>'2015-1'!$B$25</f>
        <v>Двіорник</v>
      </c>
      <c r="N2" s="306" t="str">
        <f>'2015-1'!$B$26</f>
        <v>Прибиральник</v>
      </c>
      <c r="O2" s="274" t="str">
        <f>'2015-1'!$B$28</f>
        <v>Охрана территории</v>
      </c>
      <c r="P2" s="306" t="str">
        <f>'2015-1'!$B$29</f>
        <v>Закупка мат.ценностей</v>
      </c>
      <c r="Q2" s="306" t="str">
        <f>'2015-1'!$B$31</f>
        <v>Вывоз мусора</v>
      </c>
      <c r="R2" s="306" t="str">
        <f>'2015-1'!$B$32</f>
        <v>Лифты</v>
      </c>
      <c r="S2" s="306" t="str">
        <f>'2015-1'!$B$33</f>
        <v>Эл.энергия для лифтов</v>
      </c>
      <c r="T2" s="306" t="str">
        <f>'2015-1'!$B$34</f>
        <v>Эл.энергия</v>
      </c>
      <c r="U2" s="306" t="str">
        <f>'2015-1'!$B$35</f>
        <v>Метрологическая проверка эл.приборов</v>
      </c>
      <c r="V2" s="306" t="str">
        <f>'2015-1'!$B$36</f>
        <v>Обслуживание оборудования высокой стороны (кабель)</v>
      </c>
      <c r="W2" s="306" t="str">
        <f>'2015-1'!$B$37</f>
        <v>Вода (уборка/полив)</v>
      </c>
      <c r="X2" s="306" t="str">
        <f>'2015-1'!$B$38</f>
        <v>Налог на воду</v>
      </c>
      <c r="Y2" s="306" t="str">
        <f>'2015-1'!$B$39</f>
        <v>Обслуживание пож.сигнал</v>
      </c>
      <c r="Z2" s="306" t="str">
        <f>'2015-1'!$B$40</f>
        <v>Проверка систем дымоудаления</v>
      </c>
      <c r="AA2" s="306" t="str">
        <f>'2015-1'!$B$41</f>
        <v>Дератизация и дезинсекция</v>
      </c>
      <c r="AB2" s="306" t="str">
        <f>'2015-1'!$B$42</f>
        <v>Банковское обслуж-е</v>
      </c>
      <c r="AC2" s="306" t="str">
        <f>'2015-1'!$B$43</f>
        <v>Эл.отчетность</v>
      </c>
      <c r="AD2" s="306" t="str">
        <f>'2015-1'!$B$44</f>
        <v>Программное обесп-е</v>
      </c>
      <c r="AE2" s="306" t="str">
        <f>'2015-1'!$B$45</f>
        <v>Телефон</v>
      </c>
      <c r="AF2" s="306" t="str">
        <f>'2015-1'!$B$46</f>
        <v>Юр.сопровождение</v>
      </c>
      <c r="AG2" s="306" t="str">
        <f>'2015-1'!$B$47</f>
        <v>Судебные расходы</v>
      </c>
      <c r="AH2" s="306" t="str">
        <f>'2015-1'!$B$48</f>
        <v>Офисные расходы</v>
      </c>
      <c r="AI2" s="270" t="str">
        <f>'2015-1'!$B$50</f>
        <v>Кап.ремонт</v>
      </c>
      <c r="AJ2" s="306" t="str">
        <f>'2015-1'!$B$51</f>
        <v>Текущий ремонт</v>
      </c>
      <c r="AK2" s="306" t="str">
        <f>'2015-1'!$B$52</f>
        <v>Резервный фонд</v>
      </c>
      <c r="AL2" s="322" t="s">
        <v>312</v>
      </c>
      <c r="AM2" s="307" t="s">
        <v>311</v>
      </c>
      <c r="AN2" s="308" t="s">
        <v>313</v>
      </c>
      <c r="AO2" s="308" t="s">
        <v>314</v>
      </c>
      <c r="AP2" s="322" t="s">
        <v>312</v>
      </c>
      <c r="AQ2" s="307" t="s">
        <v>311</v>
      </c>
      <c r="AR2" s="308" t="s">
        <v>313</v>
      </c>
      <c r="AS2" s="308" t="s">
        <v>314</v>
      </c>
      <c r="AU2" s="514"/>
    </row>
    <row r="3" spans="1:47" s="63" customFormat="1" x14ac:dyDescent="0.2">
      <c r="A3" s="309" t="s">
        <v>413</v>
      </c>
      <c r="B3" s="310"/>
      <c r="C3" s="311">
        <f>'2015-1'!$H$14</f>
        <v>0.37228265512741171</v>
      </c>
      <c r="D3" s="311">
        <f>'2015-1'!$H$15</f>
        <v>0</v>
      </c>
      <c r="E3" s="311">
        <f>'2015-1'!$H$16</f>
        <v>0.29752710188897563</v>
      </c>
      <c r="F3" s="311">
        <f>'2015-1'!$H$17</f>
        <v>0.18599181645722895</v>
      </c>
      <c r="G3" s="311">
        <f>'2015-1'!$H$18</f>
        <v>0.11153528543174664</v>
      </c>
      <c r="H3" s="311">
        <f>'2015-1'!$H$19</f>
        <v>0.17104070580954175</v>
      </c>
      <c r="I3" s="311">
        <f>'2015-1'!$H$20</f>
        <v>0.14502577328256605</v>
      </c>
      <c r="J3" s="311">
        <f>'2015-1'!$H$21</f>
        <v>0.14502577328256605</v>
      </c>
      <c r="K3" s="311">
        <f>'2015-1'!$H$22</f>
        <v>0.11512355198719156</v>
      </c>
      <c r="L3" s="311">
        <f>'2015-1'!$H$23</f>
        <v>0.371505197373732</v>
      </c>
      <c r="M3" s="311">
        <f>'2015-1'!$H$25</f>
        <v>0.20811946021580605</v>
      </c>
      <c r="N3" s="311">
        <f>'2015-1'!$H$26</f>
        <v>0.464381496717165</v>
      </c>
      <c r="O3" s="312">
        <f>'2015-1'!$H$28</f>
        <v>0</v>
      </c>
      <c r="P3" s="311">
        <f>'2015-1'!$H$29</f>
        <v>0</v>
      </c>
      <c r="Q3" s="313">
        <f>'2015-1'!$H$31</f>
        <v>0.29173281669043583</v>
      </c>
      <c r="R3" s="313">
        <f>'2015-1'!$H$32</f>
        <v>0.25966687296504587</v>
      </c>
      <c r="S3" s="313">
        <f>'2015-1'!$H$33</f>
        <v>0.19643193498910208</v>
      </c>
      <c r="T3" s="313">
        <f>'2015-1'!$H$34</f>
        <v>5.6146794751051679E-2</v>
      </c>
      <c r="U3" s="311">
        <f>'2015-1'!$H$35</f>
        <v>1.1211868435451031E-2</v>
      </c>
      <c r="V3" s="311">
        <f>'2015-1'!$H$36</f>
        <v>3.7372894784836776E-2</v>
      </c>
      <c r="W3" s="311">
        <f>'2015-1'!$H$37</f>
        <v>1.4698328983128383E-2</v>
      </c>
      <c r="X3" s="311">
        <f>'2015-1'!$H$38</f>
        <v>2.5563060032828353E-3</v>
      </c>
      <c r="Y3" s="311">
        <f>'2015-1'!$H$39</f>
        <v>0.1793898949672165</v>
      </c>
      <c r="Z3" s="311">
        <f>'2015-1'!$H$40</f>
        <v>2.2423736870902062E-2</v>
      </c>
      <c r="AA3" s="311">
        <f>'2015-1'!$H$41</f>
        <v>2.8926620563463662E-3</v>
      </c>
      <c r="AB3" s="311">
        <f>'2015-1'!$H$42</f>
        <v>1.2333055278996134E-2</v>
      </c>
      <c r="AC3" s="311">
        <f>'2015-1'!$H$43</f>
        <v>1.1211868435451031E-3</v>
      </c>
      <c r="AD3" s="311">
        <f>'2015-1'!$H$44</f>
        <v>7.9234450089794503E-3</v>
      </c>
      <c r="AE3" s="311">
        <f>'2015-1'!$H$45</f>
        <v>2.5787297401537373E-2</v>
      </c>
      <c r="AF3" s="311">
        <f>'2015-1'!$H$46</f>
        <v>0.11211868435451032</v>
      </c>
      <c r="AG3" s="311">
        <f>'2015-1'!$H$47</f>
        <v>1.1211868435451031E-2</v>
      </c>
      <c r="AH3" s="311">
        <f>'2015-1'!$H$48</f>
        <v>5.605934217725516E-2</v>
      </c>
      <c r="AI3" s="314">
        <f>'2015-1'!$H$50</f>
        <v>0.54041205858873975</v>
      </c>
      <c r="AJ3" s="311">
        <f>'2015-1'!$H$51</f>
        <v>0.56200000000000006</v>
      </c>
      <c r="AK3" s="311">
        <f>'2015-1'!$H$52</f>
        <v>0.62895011200775319</v>
      </c>
      <c r="AL3" s="314">
        <f>AL4+AL1</f>
        <v>5.619999979167499</v>
      </c>
      <c r="AM3" s="315"/>
      <c r="AN3" s="316"/>
      <c r="AO3" s="316"/>
      <c r="AP3" s="314">
        <f>AP4+AP1</f>
        <v>7.7743937367558935</v>
      </c>
      <c r="AQ3" s="315"/>
      <c r="AR3" s="316"/>
      <c r="AS3" s="316"/>
      <c r="AU3" s="515"/>
    </row>
    <row r="4" spans="1:47" s="63" customFormat="1" x14ac:dyDescent="0.2">
      <c r="A4" s="309" t="s">
        <v>414</v>
      </c>
      <c r="B4" s="310"/>
      <c r="C4" s="311">
        <f>'2015-2'!$H$14</f>
        <v>0.37228265512741171</v>
      </c>
      <c r="D4" s="311">
        <f>'2015-2'!$H$15</f>
        <v>0</v>
      </c>
      <c r="E4" s="311">
        <f>'2015-2'!$H$16</f>
        <v>0.29752710188897563</v>
      </c>
      <c r="F4" s="311">
        <f>'2015-2'!$H$17</f>
        <v>0.18599181645722895</v>
      </c>
      <c r="G4" s="311">
        <f>'2015-2'!$H$18</f>
        <v>0.11153528543174664</v>
      </c>
      <c r="H4" s="311">
        <f>'2015-2'!$H$19</f>
        <v>0.17104070580954175</v>
      </c>
      <c r="I4" s="311">
        <f>'2015-2'!$H$20</f>
        <v>0.14502577328256605</v>
      </c>
      <c r="J4" s="311">
        <f>'2015-2'!$H$21</f>
        <v>0.14502577328256605</v>
      </c>
      <c r="K4" s="311">
        <f>'2015-2'!$H$22</f>
        <v>0.11512355198719156</v>
      </c>
      <c r="L4" s="311">
        <f>'2015-2'!$H$23</f>
        <v>0.371505197373732</v>
      </c>
      <c r="M4" s="311">
        <f>'2015-2'!$H$25</f>
        <v>0.20811946021580605</v>
      </c>
      <c r="N4" s="311">
        <f>'2015-2'!$H$26</f>
        <v>0.464381496717165</v>
      </c>
      <c r="O4" s="312">
        <f>'2015-2'!$H$28</f>
        <v>0</v>
      </c>
      <c r="P4" s="311">
        <f>'2015-2'!$H$29</f>
        <v>0</v>
      </c>
      <c r="Q4" s="313">
        <f>'2015-2'!$H$31</f>
        <v>0.29173281669043583</v>
      </c>
      <c r="R4" s="313">
        <f>'2015-2'!$H$32</f>
        <v>0.25966687296504587</v>
      </c>
      <c r="S4" s="313">
        <f>'2015-2'!$H$33</f>
        <v>0.24600761381968497</v>
      </c>
      <c r="T4" s="313">
        <f>'2015-2'!$H$34</f>
        <v>7.0317176283459959E-2</v>
      </c>
      <c r="U4" s="311">
        <f>'2015-2'!$H$35</f>
        <v>1.1211868435451031E-2</v>
      </c>
      <c r="V4" s="311">
        <f>'2015-2'!$H$36</f>
        <v>3.7372894784836776E-2</v>
      </c>
      <c r="W4" s="311">
        <f>'2015-2'!$H$37</f>
        <v>1.4698328983128383E-2</v>
      </c>
      <c r="X4" s="311">
        <f>'2015-2'!$H$38</f>
        <v>2.5563060032828353E-3</v>
      </c>
      <c r="Y4" s="311">
        <f>'2015-2'!$H$39</f>
        <v>0.1793898949672165</v>
      </c>
      <c r="Z4" s="311">
        <f>'2015-2'!$H$40</f>
        <v>2.2423736870902062E-2</v>
      </c>
      <c r="AA4" s="311">
        <f>'2015-2'!$H$41</f>
        <v>2.8926620563463662E-3</v>
      </c>
      <c r="AB4" s="311">
        <f>'2015-2'!$H$42</f>
        <v>1.2333055278996134E-2</v>
      </c>
      <c r="AC4" s="311">
        <f>'2015-2'!$H$43</f>
        <v>1.1211868435451031E-3</v>
      </c>
      <c r="AD4" s="311">
        <f>'2015-2'!$H$44</f>
        <v>7.9234450089794503E-3</v>
      </c>
      <c r="AE4" s="311">
        <f>'2015-2'!$H$45</f>
        <v>2.5787297401537373E-2</v>
      </c>
      <c r="AF4" s="311">
        <f>'2015-2'!$H$46</f>
        <v>0.11211868435451032</v>
      </c>
      <c r="AG4" s="311">
        <f>'2015-2'!$H$47</f>
        <v>1.1211868435451031E-2</v>
      </c>
      <c r="AH4" s="311">
        <f>'2015-2'!$H$48</f>
        <v>5.605934217725516E-2</v>
      </c>
      <c r="AI4" s="314">
        <f>'2015-2'!$H$50</f>
        <v>0.54041205858873975</v>
      </c>
      <c r="AJ4" s="311">
        <f>'2015-2'!$H$51</f>
        <v>0.58200000000000007</v>
      </c>
      <c r="AK4" s="311">
        <f>'2015-2'!$H$52</f>
        <v>0.74520410435027773</v>
      </c>
      <c r="AL4" s="314">
        <f>SUM(AL6:AL22)</f>
        <v>3.4656062215791019</v>
      </c>
      <c r="AM4" s="315"/>
      <c r="AN4" s="316"/>
      <c r="AO4" s="316"/>
      <c r="AP4" s="314">
        <f>SUM(AP6:AP22)</f>
        <v>5.6199999791674964</v>
      </c>
      <c r="AQ4" s="315"/>
      <c r="AR4" s="316"/>
      <c r="AS4" s="316"/>
      <c r="AU4" s="515"/>
    </row>
    <row r="5" spans="1:47" s="69" customFormat="1" ht="12" x14ac:dyDescent="0.2">
      <c r="A5" s="306" t="s">
        <v>415</v>
      </c>
      <c r="B5" s="306"/>
      <c r="C5" s="487">
        <f>C4-C3</f>
        <v>0</v>
      </c>
      <c r="D5" s="487">
        <f t="shared" ref="D5:AK5" si="1">D4-D3</f>
        <v>0</v>
      </c>
      <c r="E5" s="487">
        <f t="shared" si="1"/>
        <v>0</v>
      </c>
      <c r="F5" s="487">
        <f t="shared" si="1"/>
        <v>0</v>
      </c>
      <c r="G5" s="487">
        <f t="shared" si="1"/>
        <v>0</v>
      </c>
      <c r="H5" s="487">
        <f t="shared" si="1"/>
        <v>0</v>
      </c>
      <c r="I5" s="487">
        <f t="shared" si="1"/>
        <v>0</v>
      </c>
      <c r="J5" s="487">
        <f t="shared" si="1"/>
        <v>0</v>
      </c>
      <c r="K5" s="487">
        <f t="shared" si="1"/>
        <v>0</v>
      </c>
      <c r="L5" s="487">
        <f t="shared" si="1"/>
        <v>0</v>
      </c>
      <c r="M5" s="487">
        <f t="shared" si="1"/>
        <v>0</v>
      </c>
      <c r="N5" s="487">
        <f t="shared" si="1"/>
        <v>0</v>
      </c>
      <c r="O5" s="487">
        <f t="shared" si="1"/>
        <v>0</v>
      </c>
      <c r="P5" s="487">
        <f t="shared" si="1"/>
        <v>0</v>
      </c>
      <c r="Q5" s="487">
        <f t="shared" si="1"/>
        <v>0</v>
      </c>
      <c r="R5" s="487">
        <f t="shared" si="1"/>
        <v>0</v>
      </c>
      <c r="S5" s="486">
        <f t="shared" si="1"/>
        <v>4.9575678830582892E-2</v>
      </c>
      <c r="T5" s="486">
        <f t="shared" si="1"/>
        <v>1.417038153240828E-2</v>
      </c>
      <c r="U5" s="487">
        <f t="shared" si="1"/>
        <v>0</v>
      </c>
      <c r="V5" s="487">
        <f t="shared" si="1"/>
        <v>0</v>
      </c>
      <c r="W5" s="487">
        <f t="shared" si="1"/>
        <v>0</v>
      </c>
      <c r="X5" s="487">
        <f t="shared" si="1"/>
        <v>0</v>
      </c>
      <c r="Y5" s="487">
        <f t="shared" si="1"/>
        <v>0</v>
      </c>
      <c r="Z5" s="487">
        <f t="shared" si="1"/>
        <v>0</v>
      </c>
      <c r="AA5" s="487">
        <f t="shared" si="1"/>
        <v>0</v>
      </c>
      <c r="AB5" s="487">
        <f t="shared" si="1"/>
        <v>0</v>
      </c>
      <c r="AC5" s="487">
        <f t="shared" si="1"/>
        <v>0</v>
      </c>
      <c r="AD5" s="487">
        <f t="shared" si="1"/>
        <v>0</v>
      </c>
      <c r="AE5" s="487">
        <f t="shared" si="1"/>
        <v>0</v>
      </c>
      <c r="AF5" s="487">
        <f t="shared" si="1"/>
        <v>0</v>
      </c>
      <c r="AG5" s="487">
        <f t="shared" si="1"/>
        <v>0</v>
      </c>
      <c r="AH5" s="487">
        <f t="shared" si="1"/>
        <v>0</v>
      </c>
      <c r="AI5" s="487">
        <f t="shared" si="1"/>
        <v>0</v>
      </c>
      <c r="AJ5" s="486">
        <f t="shared" si="1"/>
        <v>2.0000000000000018E-2</v>
      </c>
      <c r="AK5" s="486">
        <f t="shared" si="1"/>
        <v>0.11625399234252454</v>
      </c>
      <c r="AL5" s="322">
        <f>SUM(C5:AK5)</f>
        <v>0.20000005270551574</v>
      </c>
      <c r="AM5" s="307"/>
      <c r="AN5" s="308"/>
      <c r="AO5" s="308"/>
      <c r="AP5" s="322"/>
      <c r="AQ5" s="307"/>
      <c r="AR5" s="308"/>
      <c r="AS5" s="308"/>
      <c r="AU5" s="514"/>
    </row>
    <row r="6" spans="1:47" ht="25.5" x14ac:dyDescent="0.2">
      <c r="A6" s="324" t="s">
        <v>88</v>
      </c>
      <c r="B6" s="64" t="s">
        <v>41</v>
      </c>
      <c r="M6" s="65">
        <v>1</v>
      </c>
      <c r="O6" s="275"/>
      <c r="AI6" s="272"/>
      <c r="AK6" s="492"/>
      <c r="AL6" s="323">
        <f t="shared" ref="AL6:AL10" si="2">SUMPRODUCT($C$3:$AK$3,$C6:$AK6)</f>
        <v>0.20811946021580605</v>
      </c>
      <c r="AM6" s="66">
        <f t="shared" ref="AM6:AM10" si="3">AL6/$AL$4</f>
        <v>6.0052829695399296E-2</v>
      </c>
      <c r="AN6" s="61">
        <f t="shared" ref="AN6:AN10" si="4">$AL$1*AM6</f>
        <v>0.12937744142128735</v>
      </c>
      <c r="AO6" s="61">
        <f t="shared" ref="AO6:AO10" si="5">AN6+AL6</f>
        <v>0.33749690163709339</v>
      </c>
      <c r="AP6" s="271">
        <f>AO6</f>
        <v>0.33749690163709339</v>
      </c>
      <c r="AQ6" s="66">
        <f>AP6/$AP$4</f>
        <v>6.0052829695399323E-2</v>
      </c>
      <c r="AS6" s="61">
        <f>AR6+AP6</f>
        <v>0.33749690163709339</v>
      </c>
      <c r="AT6" s="65">
        <f>структура!F5</f>
        <v>4.01471060077358E-2</v>
      </c>
      <c r="AU6" s="513">
        <f>структура!H5</f>
        <v>0.13501642374686079</v>
      </c>
    </row>
    <row r="7" spans="1:47" x14ac:dyDescent="0.2">
      <c r="A7" s="324" t="s">
        <v>97</v>
      </c>
      <c r="B7" s="64" t="s">
        <v>43</v>
      </c>
      <c r="N7" s="65">
        <v>1</v>
      </c>
      <c r="O7" s="275"/>
      <c r="AI7" s="272"/>
      <c r="AK7" s="492"/>
      <c r="AL7" s="323">
        <f t="shared" si="2"/>
        <v>0.464381496717165</v>
      </c>
      <c r="AM7" s="66">
        <f t="shared" si="3"/>
        <v>0.13399719039792402</v>
      </c>
      <c r="AN7" s="61">
        <f t="shared" si="4"/>
        <v>0.28868271052767136</v>
      </c>
      <c r="AO7" s="61">
        <f t="shared" si="5"/>
        <v>0.75306420724483636</v>
      </c>
      <c r="AP7" s="271">
        <f t="shared" ref="AP7:AP22" si="6">AO7</f>
        <v>0.75306420724483636</v>
      </c>
      <c r="AQ7" s="66">
        <f t="shared" ref="AQ7:AQ22" si="7">AP7/$AP$4</f>
        <v>0.13399719039792407</v>
      </c>
      <c r="AS7" s="61">
        <f t="shared" ref="AS7:AS22" si="8">AR7+AP7</f>
        <v>0.75306420724483636</v>
      </c>
      <c r="AT7" s="493">
        <f>структура!F6</f>
        <v>8.9581114410939078E-2</v>
      </c>
      <c r="AU7" s="513">
        <f>структура!H6</f>
        <v>0.13501642374686054</v>
      </c>
    </row>
    <row r="8" spans="1:47" ht="51" x14ac:dyDescent="0.2">
      <c r="A8" s="324" t="s">
        <v>99</v>
      </c>
      <c r="B8" s="64" t="s">
        <v>45</v>
      </c>
      <c r="O8" s="275"/>
      <c r="Q8" s="65">
        <v>1</v>
      </c>
      <c r="AI8" s="272"/>
      <c r="AK8" s="492">
        <v>0.03</v>
      </c>
      <c r="AL8" s="323">
        <f t="shared" si="2"/>
        <v>0.31060132005066843</v>
      </c>
      <c r="AM8" s="66">
        <f t="shared" si="3"/>
        <v>8.9623950383244375E-2</v>
      </c>
      <c r="AN8" s="61">
        <f t="shared" si="4"/>
        <v>0.19308527923607388</v>
      </c>
      <c r="AO8" s="61">
        <f t="shared" si="5"/>
        <v>0.50368659928674231</v>
      </c>
      <c r="AP8" s="271">
        <f t="shared" si="6"/>
        <v>0.50368659928674231</v>
      </c>
      <c r="AQ8" s="66">
        <f t="shared" si="7"/>
        <v>8.9623950383244402E-2</v>
      </c>
      <c r="AS8" s="61">
        <f t="shared" si="8"/>
        <v>0.50368659928674231</v>
      </c>
      <c r="AT8" s="493">
        <f>структура!F7</f>
        <v>0.13665333652190342</v>
      </c>
      <c r="AU8" s="513">
        <f>структура!H7</f>
        <v>0.37231867077251335</v>
      </c>
    </row>
    <row r="9" spans="1:47" ht="25.5" x14ac:dyDescent="0.2">
      <c r="A9" s="324" t="s">
        <v>102</v>
      </c>
      <c r="B9" s="64" t="s">
        <v>169</v>
      </c>
      <c r="O9" s="275"/>
      <c r="AI9" s="272"/>
      <c r="AK9" s="492"/>
      <c r="AL9" s="323">
        <f t="shared" si="2"/>
        <v>0</v>
      </c>
      <c r="AM9" s="66">
        <f t="shared" si="3"/>
        <v>0</v>
      </c>
      <c r="AN9" s="61">
        <f t="shared" si="4"/>
        <v>0</v>
      </c>
      <c r="AO9" s="61">
        <f t="shared" si="5"/>
        <v>0</v>
      </c>
      <c r="AP9" s="271">
        <f t="shared" si="6"/>
        <v>0</v>
      </c>
      <c r="AQ9" s="66">
        <f t="shared" si="7"/>
        <v>0</v>
      </c>
      <c r="AS9" s="61">
        <f t="shared" si="8"/>
        <v>0</v>
      </c>
      <c r="AT9" s="493">
        <f>структура!F8</f>
        <v>0</v>
      </c>
      <c r="AU9" s="513">
        <v>0</v>
      </c>
    </row>
    <row r="10" spans="1:47" x14ac:dyDescent="0.2">
      <c r="A10" s="324" t="s">
        <v>103</v>
      </c>
      <c r="B10" s="64" t="s">
        <v>56</v>
      </c>
      <c r="I10" s="65">
        <v>1</v>
      </c>
      <c r="O10" s="275"/>
      <c r="R10" s="65">
        <v>0.5</v>
      </c>
      <c r="AI10" s="272"/>
      <c r="AK10" s="492">
        <v>0.25</v>
      </c>
      <c r="AL10" s="323">
        <f t="shared" si="2"/>
        <v>0.43209673776702728</v>
      </c>
      <c r="AM10" s="66">
        <f t="shared" si="3"/>
        <v>0.12468142949320497</v>
      </c>
      <c r="AN10" s="61">
        <f t="shared" si="4"/>
        <v>0.26861289338735861</v>
      </c>
      <c r="AO10" s="61">
        <f t="shared" si="5"/>
        <v>0.70070963115438589</v>
      </c>
      <c r="AP10" s="271">
        <f t="shared" si="6"/>
        <v>0.70070963115438589</v>
      </c>
      <c r="AQ10" s="66">
        <f t="shared" si="7"/>
        <v>0.12468142949320503</v>
      </c>
      <c r="AS10" s="61">
        <f t="shared" si="8"/>
        <v>0.70070963115438589</v>
      </c>
      <c r="AT10" s="493">
        <f>структура!F9</f>
        <v>5.618844501799658E-2</v>
      </c>
      <c r="AU10" s="513">
        <f>структура!H9</f>
        <v>8.7178585012574514E-2</v>
      </c>
    </row>
    <row r="11" spans="1:47" ht="51" x14ac:dyDescent="0.2">
      <c r="A11" s="324" t="s">
        <v>105</v>
      </c>
      <c r="B11" s="64" t="s">
        <v>58</v>
      </c>
      <c r="O11" s="483"/>
      <c r="R11" s="65">
        <v>0.5</v>
      </c>
      <c r="AI11" s="272"/>
      <c r="AK11" s="492">
        <v>0.18</v>
      </c>
      <c r="AL11" s="323">
        <f t="shared" ref="AL11:AL22" si="9">SUMPRODUCT($C$3:$AK$3,$C11:$AK11)</f>
        <v>0.24304445664391849</v>
      </c>
      <c r="AM11" s="66">
        <f t="shared" ref="AM11:AM22" si="10">AL11/$AL$4</f>
        <v>7.0130430609965669E-2</v>
      </c>
      <c r="AN11" s="61">
        <f t="shared" ref="AN11:AN22" si="11">$AL$1*AM11</f>
        <v>0.15108856192309625</v>
      </c>
      <c r="AO11" s="61">
        <f t="shared" ref="AO11:AO22" si="12">AN11+AL11</f>
        <v>0.39413301856701477</v>
      </c>
      <c r="AP11" s="271">
        <f t="shared" si="6"/>
        <v>0.39413301856701477</v>
      </c>
      <c r="AQ11" s="66">
        <f t="shared" si="7"/>
        <v>7.0130430609965697E-2</v>
      </c>
      <c r="AS11" s="61">
        <f t="shared" si="8"/>
        <v>0.39413301856701477</v>
      </c>
      <c r="AT11" s="493">
        <f>структура!F10</f>
        <v>4.2718192515573294E-2</v>
      </c>
      <c r="AU11" s="513">
        <f>структура!H10</f>
        <v>0.12156058694381904</v>
      </c>
    </row>
    <row r="12" spans="1:47" ht="63.75" x14ac:dyDescent="0.2">
      <c r="A12" s="324" t="s">
        <v>262</v>
      </c>
      <c r="H12" s="65">
        <v>1</v>
      </c>
      <c r="J12" s="65">
        <v>1</v>
      </c>
      <c r="K12" s="65">
        <v>1</v>
      </c>
      <c r="O12" s="275"/>
      <c r="AI12" s="272"/>
      <c r="AK12" s="492">
        <v>0.25</v>
      </c>
      <c r="AL12" s="323">
        <f t="shared" si="9"/>
        <v>0.58842755908123767</v>
      </c>
      <c r="AM12" s="66">
        <f t="shared" si="10"/>
        <v>0.16979065752401637</v>
      </c>
      <c r="AN12" s="61">
        <f t="shared" si="11"/>
        <v>0.36579593266657018</v>
      </c>
      <c r="AO12" s="61">
        <f t="shared" si="12"/>
        <v>0.95422349174780785</v>
      </c>
      <c r="AP12" s="271">
        <f t="shared" si="6"/>
        <v>0.95422349174780785</v>
      </c>
      <c r="AQ12" s="66">
        <f t="shared" si="7"/>
        <v>0.16979065752401643</v>
      </c>
      <c r="AS12" s="61">
        <f t="shared" si="8"/>
        <v>0.95422349174780785</v>
      </c>
      <c r="AT12" s="493">
        <f>структура!F11</f>
        <v>0.33816256459617888</v>
      </c>
      <c r="AU12" s="513">
        <f>структура!H11</f>
        <v>0.54891091074332665</v>
      </c>
    </row>
    <row r="13" spans="1:47" x14ac:dyDescent="0.2">
      <c r="A13" s="324" t="s">
        <v>104</v>
      </c>
      <c r="B13" s="64" t="s">
        <v>69</v>
      </c>
      <c r="O13" s="275"/>
      <c r="AA13" s="65">
        <v>0.5</v>
      </c>
      <c r="AI13" s="272"/>
      <c r="AK13" s="492"/>
      <c r="AL13" s="323">
        <f t="shared" si="9"/>
        <v>1.4463310281731831E-3</v>
      </c>
      <c r="AM13" s="66">
        <f t="shared" si="10"/>
        <v>4.1733853637709683E-4</v>
      </c>
      <c r="AN13" s="61">
        <f t="shared" si="11"/>
        <v>8.9911153757189538E-4</v>
      </c>
      <c r="AO13" s="61">
        <f t="shared" si="12"/>
        <v>2.3454425657450785E-3</v>
      </c>
      <c r="AP13" s="271">
        <f t="shared" si="6"/>
        <v>2.3454425657450785E-3</v>
      </c>
      <c r="AQ13" s="66">
        <f t="shared" si="7"/>
        <v>4.1733853637709699E-4</v>
      </c>
      <c r="AS13" s="61">
        <f t="shared" si="8"/>
        <v>2.3454425657450785E-3</v>
      </c>
      <c r="AT13" s="493">
        <f>структура!F12</f>
        <v>-1.7303035429025232E-4</v>
      </c>
      <c r="AU13" s="513">
        <f>структура!H12</f>
        <v>-6.8704472823088739E-2</v>
      </c>
    </row>
    <row r="14" spans="1:47" x14ac:dyDescent="0.2">
      <c r="A14" s="324" t="s">
        <v>106</v>
      </c>
      <c r="B14" s="64" t="s">
        <v>72</v>
      </c>
      <c r="O14" s="275"/>
      <c r="AA14" s="65">
        <v>0.5</v>
      </c>
      <c r="AI14" s="272"/>
      <c r="AK14" s="492"/>
      <c r="AL14" s="323">
        <f t="shared" si="9"/>
        <v>1.4463310281731831E-3</v>
      </c>
      <c r="AM14" s="66">
        <f t="shared" si="10"/>
        <v>4.1733853637709683E-4</v>
      </c>
      <c r="AN14" s="61">
        <f t="shared" si="11"/>
        <v>8.9911153757189538E-4</v>
      </c>
      <c r="AO14" s="61">
        <f t="shared" si="12"/>
        <v>2.3454425657450785E-3</v>
      </c>
      <c r="AP14" s="271">
        <f t="shared" si="6"/>
        <v>2.3454425657450785E-3</v>
      </c>
      <c r="AQ14" s="66">
        <f t="shared" si="7"/>
        <v>4.1733853637709699E-4</v>
      </c>
      <c r="AS14" s="61">
        <f t="shared" si="8"/>
        <v>2.3454425657450785E-3</v>
      </c>
      <c r="AT14" s="493">
        <f>структура!F13</f>
        <v>-1.7303035429025232E-4</v>
      </c>
      <c r="AU14" s="513">
        <f>структура!H13</f>
        <v>-6.8704472823088739E-2</v>
      </c>
    </row>
    <row r="15" spans="1:47" ht="25.5" x14ac:dyDescent="0.2">
      <c r="A15" s="324" t="s">
        <v>112</v>
      </c>
      <c r="B15" s="64" t="s">
        <v>74</v>
      </c>
      <c r="O15" s="275"/>
      <c r="Z15" s="65">
        <v>1</v>
      </c>
      <c r="AI15" s="272"/>
      <c r="AK15" s="492">
        <v>0.12</v>
      </c>
      <c r="AL15" s="323">
        <f t="shared" si="9"/>
        <v>9.789775031183244E-2</v>
      </c>
      <c r="AM15" s="66">
        <f t="shared" si="10"/>
        <v>2.824837677813995E-2</v>
      </c>
      <c r="AN15" s="61">
        <f t="shared" si="11"/>
        <v>6.0858126592829735E-2</v>
      </c>
      <c r="AO15" s="61">
        <f t="shared" si="12"/>
        <v>0.15875587690466217</v>
      </c>
      <c r="AP15" s="271">
        <f t="shared" si="6"/>
        <v>0.15875587690466217</v>
      </c>
      <c r="AQ15" s="66">
        <f t="shared" si="7"/>
        <v>2.8248376778139961E-2</v>
      </c>
      <c r="AS15" s="61">
        <f t="shared" si="8"/>
        <v>0.15875587690466217</v>
      </c>
      <c r="AT15" s="493">
        <f>структура!F14</f>
        <v>2.5715097706881795E-3</v>
      </c>
      <c r="AU15" s="513">
        <f>структура!H14</f>
        <v>1.6464578484236866E-2</v>
      </c>
    </row>
    <row r="16" spans="1:47" ht="88.5" customHeight="1" x14ac:dyDescent="0.2">
      <c r="A16" s="485" t="s">
        <v>259</v>
      </c>
      <c r="O16" s="275"/>
      <c r="Y16" s="65">
        <v>1</v>
      </c>
      <c r="AI16" s="272"/>
      <c r="AK16" s="492">
        <v>0.05</v>
      </c>
      <c r="AL16" s="323">
        <f t="shared" si="9"/>
        <v>0.21083740056760417</v>
      </c>
      <c r="AM16" s="66">
        <f t="shared" si="10"/>
        <v>6.0837090854348769E-2</v>
      </c>
      <c r="AN16" s="61">
        <f t="shared" si="11"/>
        <v>0.13106704876644712</v>
      </c>
      <c r="AO16" s="61">
        <f t="shared" si="12"/>
        <v>0.34190444933405129</v>
      </c>
      <c r="AP16" s="271">
        <f t="shared" si="6"/>
        <v>0.34190444933405129</v>
      </c>
      <c r="AQ16" s="66">
        <f t="shared" si="7"/>
        <v>6.083709085434879E-2</v>
      </c>
      <c r="AS16" s="61">
        <f t="shared" si="8"/>
        <v>0.34190444933405129</v>
      </c>
      <c r="AT16" s="493">
        <f>структура!F15</f>
        <v>2.9535715066103307E-2</v>
      </c>
      <c r="AU16" s="513">
        <f>структура!H15</f>
        <v>9.4554005653996576E-2</v>
      </c>
    </row>
    <row r="17" spans="1:47" ht="73.5" customHeight="1" x14ac:dyDescent="0.2">
      <c r="A17" s="324" t="s">
        <v>261</v>
      </c>
      <c r="O17" s="275"/>
      <c r="AI17" s="272"/>
      <c r="AJ17" s="65">
        <v>1</v>
      </c>
      <c r="AK17" s="492"/>
      <c r="AL17" s="323">
        <f t="shared" si="9"/>
        <v>0.56200000000000006</v>
      </c>
      <c r="AM17" s="66">
        <f t="shared" si="10"/>
        <v>0.1621649905002551</v>
      </c>
      <c r="AN17" s="61">
        <f t="shared" si="11"/>
        <v>0.34936724323313123</v>
      </c>
      <c r="AO17" s="61">
        <f t="shared" si="12"/>
        <v>0.91136724323313123</v>
      </c>
      <c r="AP17" s="271">
        <f t="shared" si="6"/>
        <v>0.91136724323313123</v>
      </c>
      <c r="AQ17" s="66">
        <f t="shared" si="7"/>
        <v>0.16216499050025515</v>
      </c>
      <c r="AS17" s="61">
        <f t="shared" si="8"/>
        <v>0.91136724323313123</v>
      </c>
      <c r="AT17" s="493">
        <f>структура!F16</f>
        <v>1.4606039502050416E-2</v>
      </c>
      <c r="AU17" s="513">
        <f>структура!H16</f>
        <v>1.6287546161988572E-2</v>
      </c>
    </row>
    <row r="18" spans="1:47" x14ac:dyDescent="0.2">
      <c r="A18" s="324" t="s">
        <v>107</v>
      </c>
      <c r="B18" s="64" t="s">
        <v>79</v>
      </c>
      <c r="O18" s="275"/>
      <c r="W18" s="65">
        <v>1</v>
      </c>
      <c r="X18" s="65">
        <v>1</v>
      </c>
      <c r="AI18" s="272"/>
      <c r="AK18" s="492">
        <v>7.0000000000000007E-2</v>
      </c>
      <c r="AL18" s="323">
        <f t="shared" si="9"/>
        <v>6.1281142826953947E-2</v>
      </c>
      <c r="AM18" s="66">
        <f t="shared" si="10"/>
        <v>1.7682661822736232E-2</v>
      </c>
      <c r="AN18" s="61">
        <f t="shared" si="11"/>
        <v>3.8095416248449601E-2</v>
      </c>
      <c r="AO18" s="61">
        <f t="shared" si="12"/>
        <v>9.9376559075403548E-2</v>
      </c>
      <c r="AP18" s="271">
        <f t="shared" si="6"/>
        <v>9.9376559075403548E-2</v>
      </c>
      <c r="AQ18" s="66">
        <f t="shared" si="7"/>
        <v>1.7682661822736239E-2</v>
      </c>
      <c r="AR18" s="61">
        <f>($AJ$5+$AK$5)/2</f>
        <v>6.8126996171262277E-2</v>
      </c>
      <c r="AS18" s="61">
        <f t="shared" si="8"/>
        <v>0.16750355524666583</v>
      </c>
      <c r="AT18" s="493">
        <f>структура!F17</f>
        <v>-9.8345723804457053E-2</v>
      </c>
      <c r="AU18" s="513">
        <f>структура!H17</f>
        <v>-0.49739322433482913</v>
      </c>
    </row>
    <row r="19" spans="1:47" x14ac:dyDescent="0.2">
      <c r="A19" s="324" t="s">
        <v>260</v>
      </c>
      <c r="B19" s="64"/>
      <c r="O19" s="275"/>
      <c r="AI19" s="272"/>
      <c r="AK19" s="492">
        <v>0.05</v>
      </c>
      <c r="AL19" s="323">
        <f t="shared" si="9"/>
        <v>3.1447505600387664E-2</v>
      </c>
      <c r="AM19" s="66">
        <f t="shared" si="10"/>
        <v>9.0741716137786189E-3</v>
      </c>
      <c r="AN19" s="61">
        <f t="shared" si="11"/>
        <v>1.9549338680010485E-2</v>
      </c>
      <c r="AO19" s="61">
        <f t="shared" si="12"/>
        <v>5.0996844280398149E-2</v>
      </c>
      <c r="AP19" s="271">
        <f t="shared" si="6"/>
        <v>5.0996844280398149E-2</v>
      </c>
      <c r="AQ19" s="66">
        <f t="shared" si="7"/>
        <v>9.0741716137786223E-3</v>
      </c>
      <c r="AR19" s="61">
        <f>($AJ$5+$AK$5)/2</f>
        <v>6.8126996171262277E-2</v>
      </c>
      <c r="AS19" s="61">
        <f t="shared" si="8"/>
        <v>0.11912384045166043</v>
      </c>
      <c r="AT19" s="493">
        <f>структура!F18</f>
        <v>-3.2106385853979527E-2</v>
      </c>
      <c r="AU19" s="513">
        <f>структура!H18</f>
        <v>-0.38634341652019538</v>
      </c>
    </row>
    <row r="20" spans="1:47" ht="25.5" x14ac:dyDescent="0.2">
      <c r="A20" s="324" t="s">
        <v>109</v>
      </c>
      <c r="B20" s="64" t="s">
        <v>82</v>
      </c>
      <c r="O20" s="275"/>
      <c r="AI20" s="272"/>
      <c r="AK20" s="492"/>
      <c r="AL20" s="323">
        <f t="shared" si="9"/>
        <v>0</v>
      </c>
      <c r="AM20" s="66">
        <f t="shared" si="10"/>
        <v>0</v>
      </c>
      <c r="AN20" s="61">
        <f t="shared" si="11"/>
        <v>0</v>
      </c>
      <c r="AO20" s="61">
        <f t="shared" si="12"/>
        <v>0</v>
      </c>
      <c r="AP20" s="271">
        <f t="shared" si="6"/>
        <v>0</v>
      </c>
      <c r="AQ20" s="66">
        <f t="shared" si="7"/>
        <v>0</v>
      </c>
      <c r="AS20" s="61">
        <f t="shared" si="8"/>
        <v>0</v>
      </c>
      <c r="AT20" s="493">
        <f>структура!F19</f>
        <v>0</v>
      </c>
      <c r="AU20" s="513">
        <v>0</v>
      </c>
    </row>
    <row r="21" spans="1:47" ht="38.25" x14ac:dyDescent="0.2">
      <c r="A21" s="324" t="s">
        <v>110</v>
      </c>
      <c r="B21" s="64" t="s">
        <v>84</v>
      </c>
      <c r="O21" s="275"/>
      <c r="T21" s="65">
        <v>1</v>
      </c>
      <c r="AI21" s="272"/>
      <c r="AK21" s="492"/>
      <c r="AL21" s="323">
        <f t="shared" si="9"/>
        <v>5.6146794751051679E-2</v>
      </c>
      <c r="AM21" s="66">
        <f t="shared" si="10"/>
        <v>1.6201146685807952E-2</v>
      </c>
      <c r="AN21" s="61">
        <f t="shared" si="11"/>
        <v>3.4903649285678594E-2</v>
      </c>
      <c r="AO21" s="61">
        <f t="shared" si="12"/>
        <v>9.1050444036730266E-2</v>
      </c>
      <c r="AP21" s="271">
        <f t="shared" si="6"/>
        <v>9.1050444036730266E-2</v>
      </c>
      <c r="AQ21" s="66">
        <f t="shared" si="7"/>
        <v>1.6201146685807955E-2</v>
      </c>
      <c r="AR21" s="61">
        <f>T5</f>
        <v>1.417038153240828E-2</v>
      </c>
      <c r="AS21" s="61">
        <f t="shared" si="8"/>
        <v>0.10522082556913855</v>
      </c>
      <c r="AT21" s="493">
        <f>структура!F20</f>
        <v>-3.3203172222298613E-2</v>
      </c>
      <c r="AU21" s="513">
        <f>структура!H20</f>
        <v>-0.26722097289370367</v>
      </c>
    </row>
    <row r="22" spans="1:47" x14ac:dyDescent="0.2">
      <c r="A22" s="324" t="s">
        <v>111</v>
      </c>
      <c r="B22" s="64" t="s">
        <v>86</v>
      </c>
      <c r="O22" s="275"/>
      <c r="S22" s="65">
        <v>1</v>
      </c>
      <c r="AI22" s="272"/>
      <c r="AK22" s="492"/>
      <c r="AL22" s="323">
        <f t="shared" si="9"/>
        <v>0.19643193498910208</v>
      </c>
      <c r="AM22" s="66">
        <f t="shared" si="10"/>
        <v>5.6680396568424316E-2</v>
      </c>
      <c r="AN22" s="61">
        <f t="shared" si="11"/>
        <v>0.12211189254464813</v>
      </c>
      <c r="AO22" s="61">
        <f t="shared" si="12"/>
        <v>0.31854382753375021</v>
      </c>
      <c r="AP22" s="271">
        <f t="shared" si="6"/>
        <v>0.31854382753375021</v>
      </c>
      <c r="AQ22" s="66">
        <f t="shared" si="7"/>
        <v>5.6680396568424336E-2</v>
      </c>
      <c r="AR22" s="61">
        <f>S5</f>
        <v>4.9575678830582892E-2</v>
      </c>
      <c r="AS22" s="61">
        <f t="shared" si="8"/>
        <v>0.3681195063643331</v>
      </c>
      <c r="AT22" s="493">
        <f>структура!F21</f>
        <v>-0.11616270165235654</v>
      </c>
      <c r="AU22" s="513">
        <f>структура!H21</f>
        <v>-0.26722097289370345</v>
      </c>
    </row>
    <row r="23" spans="1:47" x14ac:dyDescent="0.2">
      <c r="A23" s="325"/>
      <c r="O23" s="275"/>
      <c r="AI23" s="272"/>
      <c r="AK23" s="492"/>
      <c r="AL23" s="323"/>
      <c r="AP23" s="323"/>
    </row>
    <row r="24" spans="1:47" s="68" customFormat="1" x14ac:dyDescent="0.2">
      <c r="A24" s="317" t="s">
        <v>310</v>
      </c>
      <c r="B24" s="318" t="s">
        <v>236</v>
      </c>
      <c r="C24" s="319">
        <f t="shared" ref="C24:AO24" si="13">SUM(C6:C23)+C1</f>
        <v>1</v>
      </c>
      <c r="D24" s="319">
        <f t="shared" si="13"/>
        <v>1</v>
      </c>
      <c r="E24" s="319">
        <f t="shared" si="13"/>
        <v>1</v>
      </c>
      <c r="F24" s="319">
        <f t="shared" si="13"/>
        <v>1</v>
      </c>
      <c r="G24" s="319">
        <f t="shared" si="13"/>
        <v>1</v>
      </c>
      <c r="H24" s="319">
        <f t="shared" si="13"/>
        <v>1</v>
      </c>
      <c r="I24" s="319">
        <f t="shared" si="13"/>
        <v>1</v>
      </c>
      <c r="J24" s="319">
        <f t="shared" si="13"/>
        <v>1</v>
      </c>
      <c r="K24" s="319">
        <f t="shared" si="13"/>
        <v>1</v>
      </c>
      <c r="L24" s="319">
        <f t="shared" si="13"/>
        <v>1</v>
      </c>
      <c r="M24" s="319">
        <f t="shared" si="13"/>
        <v>1</v>
      </c>
      <c r="N24" s="319">
        <f t="shared" si="13"/>
        <v>1</v>
      </c>
      <c r="O24" s="320">
        <f t="shared" si="13"/>
        <v>1</v>
      </c>
      <c r="P24" s="319">
        <f t="shared" si="13"/>
        <v>1</v>
      </c>
      <c r="Q24" s="319">
        <f t="shared" si="13"/>
        <v>1</v>
      </c>
      <c r="R24" s="319">
        <f t="shared" si="13"/>
        <v>1</v>
      </c>
      <c r="S24" s="319">
        <f t="shared" si="13"/>
        <v>1</v>
      </c>
      <c r="T24" s="319">
        <f t="shared" si="13"/>
        <v>1</v>
      </c>
      <c r="U24" s="319">
        <f t="shared" si="13"/>
        <v>1</v>
      </c>
      <c r="V24" s="319">
        <f t="shared" si="13"/>
        <v>1</v>
      </c>
      <c r="W24" s="319">
        <f t="shared" si="13"/>
        <v>1</v>
      </c>
      <c r="X24" s="319">
        <f t="shared" si="13"/>
        <v>1</v>
      </c>
      <c r="Y24" s="319">
        <f t="shared" si="13"/>
        <v>1</v>
      </c>
      <c r="Z24" s="319">
        <f t="shared" si="13"/>
        <v>1</v>
      </c>
      <c r="AA24" s="319">
        <f t="shared" si="13"/>
        <v>1</v>
      </c>
      <c r="AB24" s="319">
        <f t="shared" si="13"/>
        <v>1</v>
      </c>
      <c r="AC24" s="319">
        <f t="shared" si="13"/>
        <v>1</v>
      </c>
      <c r="AD24" s="319">
        <f t="shared" si="13"/>
        <v>1</v>
      </c>
      <c r="AE24" s="319">
        <f t="shared" si="13"/>
        <v>1</v>
      </c>
      <c r="AF24" s="319">
        <f t="shared" si="13"/>
        <v>1</v>
      </c>
      <c r="AG24" s="319">
        <f t="shared" si="13"/>
        <v>1</v>
      </c>
      <c r="AH24" s="319">
        <f t="shared" si="13"/>
        <v>1</v>
      </c>
      <c r="AI24" s="321">
        <f t="shared" si="13"/>
        <v>1</v>
      </c>
      <c r="AJ24" s="319">
        <f t="shared" si="13"/>
        <v>1</v>
      </c>
      <c r="AK24" s="319">
        <f t="shared" si="13"/>
        <v>1</v>
      </c>
      <c r="AL24" s="321">
        <f t="shared" si="13"/>
        <v>5.619999979167499</v>
      </c>
      <c r="AM24" s="319">
        <f t="shared" si="13"/>
        <v>0.99999999999999978</v>
      </c>
      <c r="AN24" s="319">
        <f t="shared" si="13"/>
        <v>2.1543937575883962</v>
      </c>
      <c r="AO24" s="319">
        <f t="shared" si="13"/>
        <v>5.6199999791674964</v>
      </c>
      <c r="AP24" s="321">
        <f>SUM(AP6:AP23)</f>
        <v>5.6199999791674964</v>
      </c>
      <c r="AQ24" s="319">
        <f>SUM(AQ6:AQ23)+AQ1</f>
        <v>1</v>
      </c>
      <c r="AR24" s="319">
        <f>SUM(AR6:AR23)+AR1</f>
        <v>0.20000005270551574</v>
      </c>
      <c r="AS24" s="319">
        <f>SUM(AS6:AS23)+AS1</f>
        <v>5.8200000318730121</v>
      </c>
      <c r="AT24" s="512">
        <f>SUM(AT6:AT23)+AT1</f>
        <v>0.4699999791674967</v>
      </c>
      <c r="AU24" s="516">
        <f>SUM(AU6:AU23)+AU1</f>
        <v>-2.8279801022432438E-2</v>
      </c>
    </row>
  </sheetData>
  <autoFilter ref="A2:B22"/>
  <phoneticPr fontId="3" type="noConversion"/>
  <pageMargins left="0" right="0" top="0.39370078740157483" bottom="0" header="0.51181102362204722" footer="0.51181102362204722"/>
  <pageSetup paperSize="9" scale="70" fitToWidth="2" orientation="landscape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7"/>
  <sheetViews>
    <sheetView showZeros="0" zoomScale="80" zoomScaleNormal="80" workbookViewId="0">
      <pane xSplit="1" ySplit="3" topLeftCell="B4" activePane="bottomRight" state="frozen"/>
      <selection activeCell="G1" sqref="G1:N65536"/>
      <selection pane="topRight" activeCell="G1" sqref="G1:N65536"/>
      <selection pane="bottomLeft" activeCell="G1" sqref="G1:N65536"/>
      <selection pane="bottomRight" activeCell="I27" sqref="I27"/>
    </sheetView>
  </sheetViews>
  <sheetFormatPr defaultRowHeight="15" x14ac:dyDescent="0.2"/>
  <cols>
    <col min="1" max="1" width="52.85546875" style="119" customWidth="1"/>
    <col min="2" max="2" width="10" style="33" bestFit="1" customWidth="1"/>
    <col min="3" max="4" width="15.7109375" style="120" bestFit="1" customWidth="1"/>
    <col min="5" max="5" width="8" style="120" hidden="1" customWidth="1"/>
    <col min="6" max="6" width="9.5703125" style="120" customWidth="1"/>
    <col min="7" max="7" width="9.42578125" style="120" hidden="1" customWidth="1"/>
    <col min="8" max="8" width="11.28515625" style="120" hidden="1" customWidth="1"/>
    <col min="9" max="9" width="11.140625" style="166" customWidth="1"/>
    <col min="10" max="11" width="15.7109375" style="33" bestFit="1" customWidth="1"/>
    <col min="12" max="12" width="9.140625" style="33"/>
    <col min="13" max="14" width="15.140625" style="121" customWidth="1"/>
    <col min="15" max="15" width="8.85546875" style="121" bestFit="1" customWidth="1"/>
    <col min="16" max="16" width="3.42578125" style="70" hidden="1" customWidth="1"/>
    <col min="17" max="17" width="52.85546875" style="33" hidden="1" customWidth="1"/>
    <col min="18" max="18" width="4" style="70" hidden="1" customWidth="1"/>
    <col min="19" max="19" width="5.5703125" style="33" hidden="1" customWidth="1"/>
    <col min="20" max="20" width="28.42578125" style="33" hidden="1" customWidth="1"/>
    <col min="21" max="16384" width="9.140625" style="33"/>
  </cols>
  <sheetData>
    <row r="1" spans="1:20" s="34" customFormat="1" ht="15.75" hidden="1" x14ac:dyDescent="0.2">
      <c r="A1" s="71"/>
      <c r="C1" s="72" t="s">
        <v>6</v>
      </c>
      <c r="D1" s="72"/>
      <c r="E1" s="73"/>
      <c r="F1" s="73"/>
      <c r="G1" s="73"/>
      <c r="H1" s="73"/>
      <c r="I1" s="161"/>
      <c r="J1" s="140"/>
      <c r="K1" s="140"/>
      <c r="L1" s="140"/>
      <c r="M1" s="74"/>
      <c r="N1" s="74"/>
      <c r="O1" s="74"/>
      <c r="P1" s="75"/>
      <c r="R1" s="75"/>
    </row>
    <row r="2" spans="1:20" s="34" customFormat="1" ht="31.5" x14ac:dyDescent="0.2">
      <c r="A2" s="138" t="s">
        <v>292</v>
      </c>
      <c r="B2" s="139"/>
      <c r="C2" s="140"/>
      <c r="D2" s="140"/>
      <c r="E2" s="140"/>
      <c r="F2" s="140"/>
      <c r="G2" s="140"/>
      <c r="H2" s="140"/>
      <c r="I2" s="141"/>
      <c r="J2" s="138" t="s">
        <v>294</v>
      </c>
      <c r="K2" s="139"/>
      <c r="L2" s="141"/>
      <c r="M2" s="138" t="s">
        <v>293</v>
      </c>
      <c r="N2" s="139"/>
      <c r="O2" s="141"/>
      <c r="P2" s="75"/>
      <c r="R2" s="75"/>
    </row>
    <row r="3" spans="1:20" s="34" customFormat="1" ht="24" x14ac:dyDescent="0.2">
      <c r="A3" s="128"/>
      <c r="B3" s="130" t="s">
        <v>1</v>
      </c>
      <c r="C3" s="129" t="s">
        <v>0</v>
      </c>
      <c r="D3" s="130" t="s">
        <v>4</v>
      </c>
      <c r="E3" s="129" t="s">
        <v>270</v>
      </c>
      <c r="F3" s="130" t="s">
        <v>270</v>
      </c>
      <c r="G3" s="129" t="s">
        <v>269</v>
      </c>
      <c r="H3" s="129" t="s">
        <v>271</v>
      </c>
      <c r="I3" s="162" t="s">
        <v>272</v>
      </c>
      <c r="J3" s="129" t="s">
        <v>0</v>
      </c>
      <c r="K3" s="130" t="s">
        <v>4</v>
      </c>
      <c r="L3" s="130" t="s">
        <v>270</v>
      </c>
      <c r="M3" s="129" t="s">
        <v>0</v>
      </c>
      <c r="N3" s="130" t="s">
        <v>4</v>
      </c>
      <c r="O3" s="130" t="s">
        <v>270</v>
      </c>
      <c r="P3" s="75"/>
      <c r="R3" s="75"/>
    </row>
    <row r="4" spans="1:20" s="34" customFormat="1" ht="25.5" x14ac:dyDescent="0.2">
      <c r="A4" s="76" t="s">
        <v>273</v>
      </c>
      <c r="B4" s="77" t="s">
        <v>2</v>
      </c>
      <c r="C4" s="78">
        <v>2.2136999999999998</v>
      </c>
      <c r="D4" s="131">
        <v>1.9156</v>
      </c>
      <c r="E4" s="79"/>
      <c r="F4" s="80">
        <f>F5+F6</f>
        <v>1.8839999999999999</v>
      </c>
      <c r="G4" s="79"/>
      <c r="H4" s="79"/>
      <c r="I4" s="163">
        <f>I5+I6</f>
        <v>1.0905611088819298</v>
      </c>
      <c r="J4" s="142">
        <f>$I4-C4</f>
        <v>-1.12313889111807</v>
      </c>
      <c r="K4" s="143">
        <f t="shared" ref="K4:K27" si="0">$I4-D4</f>
        <v>-0.82503889111807016</v>
      </c>
      <c r="L4" s="144">
        <f>$I4-F4</f>
        <v>-0.79343889111807009</v>
      </c>
      <c r="M4" s="81">
        <f t="shared" ref="M4:M27" si="1">IF(C4=0,,$I4/C4-1)</f>
        <v>-0.5073582197759724</v>
      </c>
      <c r="N4" s="82">
        <f t="shared" ref="N4:N27" si="2">IF(D4=0,,$I4/D4-1)</f>
        <v>-0.43069476462626344</v>
      </c>
      <c r="O4" s="82">
        <f t="shared" ref="O4:O27" si="3">IF(F4=0,,$I4/F4-1)</f>
        <v>-0.42114590823676756</v>
      </c>
      <c r="P4" s="75"/>
      <c r="R4" s="75"/>
    </row>
    <row r="5" spans="1:20" s="91" customFormat="1" ht="25.5" x14ac:dyDescent="0.2">
      <c r="A5" s="122" t="s">
        <v>274</v>
      </c>
      <c r="B5" s="83" t="s">
        <v>2</v>
      </c>
      <c r="C5" s="84">
        <v>0.46529999999999999</v>
      </c>
      <c r="D5" s="132">
        <v>0.32819999999999999</v>
      </c>
      <c r="E5" s="85">
        <v>0.84</v>
      </c>
      <c r="F5" s="86">
        <f>E5*1.2</f>
        <v>1.008</v>
      </c>
      <c r="G5" s="87">
        <f>'расчет тарифа'!AP6</f>
        <v>0.33749690163709339</v>
      </c>
      <c r="H5" s="87">
        <f>'расчет тарифа'!AR6</f>
        <v>0</v>
      </c>
      <c r="I5" s="164">
        <f>'расчет тарифа'!AS6</f>
        <v>0.33749690163709339</v>
      </c>
      <c r="J5" s="145">
        <f t="shared" ref="J5:J27" si="4">$I5-C5</f>
        <v>-0.1278030983629066</v>
      </c>
      <c r="K5" s="146">
        <f t="shared" si="0"/>
        <v>9.2969016370934021E-3</v>
      </c>
      <c r="L5" s="147">
        <f t="shared" ref="L5:L27" si="5">$I5-F5</f>
        <v>-0.67050309836290656</v>
      </c>
      <c r="M5" s="88">
        <f t="shared" si="1"/>
        <v>-0.27466816755406531</v>
      </c>
      <c r="N5" s="89">
        <f t="shared" si="2"/>
        <v>2.8326939783953176E-2</v>
      </c>
      <c r="O5" s="89">
        <f t="shared" si="3"/>
        <v>-0.66518164520129619</v>
      </c>
      <c r="P5" s="90">
        <v>2</v>
      </c>
      <c r="Q5" s="91" t="s">
        <v>8</v>
      </c>
      <c r="R5" s="90">
        <v>1</v>
      </c>
      <c r="S5" s="91" t="s">
        <v>8</v>
      </c>
      <c r="T5" s="92" t="str">
        <f>'расчет тарифа'!A6</f>
        <v>Витрати з прибирання прибудинкової території</v>
      </c>
    </row>
    <row r="6" spans="1:20" s="91" customFormat="1" ht="25.5" x14ac:dyDescent="0.2">
      <c r="A6" s="123" t="s">
        <v>275</v>
      </c>
      <c r="B6" s="93" t="s">
        <v>2</v>
      </c>
      <c r="C6" s="94">
        <v>1.7484</v>
      </c>
      <c r="D6" s="133">
        <v>1.5873999999999999</v>
      </c>
      <c r="E6" s="95">
        <v>0.73</v>
      </c>
      <c r="F6" s="96">
        <f t="shared" ref="F6:F26" si="6">E6*1.2</f>
        <v>0.876</v>
      </c>
      <c r="G6" s="97">
        <f>'расчет тарифа'!AP7</f>
        <v>0.75306420724483636</v>
      </c>
      <c r="H6" s="97">
        <f>'расчет тарифа'!AR7</f>
        <v>0</v>
      </c>
      <c r="I6" s="165">
        <f>'расчет тарифа'!AS7</f>
        <v>0.75306420724483636</v>
      </c>
      <c r="J6" s="148">
        <f t="shared" si="4"/>
        <v>-0.9953357927551636</v>
      </c>
      <c r="K6" s="149">
        <f t="shared" si="0"/>
        <v>-0.83433579275516356</v>
      </c>
      <c r="L6" s="150">
        <f t="shared" si="5"/>
        <v>-0.12293579275516364</v>
      </c>
      <c r="M6" s="99">
        <f t="shared" si="1"/>
        <v>-0.56928379818986707</v>
      </c>
      <c r="N6" s="100">
        <f t="shared" si="2"/>
        <v>-0.52559896230009051</v>
      </c>
      <c r="O6" s="100">
        <f t="shared" si="3"/>
        <v>-0.1403376629625156</v>
      </c>
      <c r="P6" s="90">
        <v>1</v>
      </c>
      <c r="Q6" s="91" t="s">
        <v>7</v>
      </c>
      <c r="R6" s="90">
        <v>2</v>
      </c>
      <c r="S6" s="91" t="s">
        <v>7</v>
      </c>
      <c r="T6" s="92" t="str">
        <f>'расчет тарифа'!A7</f>
        <v>Витрати з прибирання сходових кліток</v>
      </c>
    </row>
    <row r="7" spans="1:20" ht="25.5" x14ac:dyDescent="0.2">
      <c r="A7" s="101" t="s">
        <v>276</v>
      </c>
      <c r="B7" s="102" t="s">
        <v>2</v>
      </c>
      <c r="C7" s="103">
        <v>0.44690000000000002</v>
      </c>
      <c r="D7" s="134">
        <v>0.44629999999999997</v>
      </c>
      <c r="E7" s="104">
        <v>0.12</v>
      </c>
      <c r="F7" s="105">
        <f t="shared" si="6"/>
        <v>0.14399999999999999</v>
      </c>
      <c r="G7" s="97">
        <f>'расчет тарифа'!AP8</f>
        <v>0.50368659928674231</v>
      </c>
      <c r="H7" s="97">
        <f>'расчет тарифа'!AR8</f>
        <v>0</v>
      </c>
      <c r="I7" s="165">
        <f>'расчет тарифа'!AS8</f>
        <v>0.50368659928674231</v>
      </c>
      <c r="J7" s="151">
        <f t="shared" si="4"/>
        <v>5.678659928674229E-2</v>
      </c>
      <c r="K7" s="152">
        <f t="shared" si="0"/>
        <v>5.7386599286742335E-2</v>
      </c>
      <c r="L7" s="153">
        <f t="shared" si="5"/>
        <v>0.35968659928674229</v>
      </c>
      <c r="M7" s="99">
        <f t="shared" si="1"/>
        <v>0.12706779880676278</v>
      </c>
      <c r="N7" s="100">
        <f t="shared" si="2"/>
        <v>0.12858301431042429</v>
      </c>
      <c r="O7" s="100">
        <f t="shared" si="3"/>
        <v>2.4978236061579331</v>
      </c>
      <c r="P7" s="70">
        <v>3</v>
      </c>
      <c r="Q7" s="33" t="s">
        <v>9</v>
      </c>
      <c r="R7" s="70">
        <v>3</v>
      </c>
      <c r="S7" s="33" t="s">
        <v>28</v>
      </c>
      <c r="T7" s="92" t="str">
        <f>'расчет тарифа'!A8</f>
        <v>Витрати з вивезення побутових відходів (збирання, зберігання, перевезення, перероблення, утилізація, знешкодження та захоронення)</v>
      </c>
    </row>
    <row r="8" spans="1:20" ht="25.5" x14ac:dyDescent="0.2">
      <c r="A8" s="187" t="s">
        <v>277</v>
      </c>
      <c r="B8" s="102" t="s">
        <v>2</v>
      </c>
      <c r="C8" s="177">
        <v>0</v>
      </c>
      <c r="D8" s="178">
        <v>0</v>
      </c>
      <c r="E8" s="104">
        <v>6.0000000000000001E-3</v>
      </c>
      <c r="F8" s="105">
        <f t="shared" si="6"/>
        <v>7.1999999999999998E-3</v>
      </c>
      <c r="G8" s="97">
        <f>'расчет тарифа'!AP9</f>
        <v>0</v>
      </c>
      <c r="H8" s="97">
        <f>'расчет тарифа'!AR9</f>
        <v>0</v>
      </c>
      <c r="I8" s="170">
        <f>'расчет тарифа'!AS9</f>
        <v>0</v>
      </c>
      <c r="J8" s="182">
        <f t="shared" si="4"/>
        <v>0</v>
      </c>
      <c r="K8" s="183">
        <f t="shared" si="0"/>
        <v>0</v>
      </c>
      <c r="L8" s="153">
        <f t="shared" si="5"/>
        <v>-7.1999999999999998E-3</v>
      </c>
      <c r="M8" s="173">
        <f t="shared" si="1"/>
        <v>0</v>
      </c>
      <c r="N8" s="174">
        <f t="shared" si="2"/>
        <v>0</v>
      </c>
      <c r="O8" s="100">
        <f t="shared" si="3"/>
        <v>-1</v>
      </c>
      <c r="P8" s="70">
        <v>4</v>
      </c>
      <c r="Q8" s="33" t="s">
        <v>10</v>
      </c>
      <c r="R8" s="70">
        <v>4</v>
      </c>
      <c r="S8" s="33" t="s">
        <v>29</v>
      </c>
      <c r="T8" s="92" t="str">
        <f>'расчет тарифа'!A9</f>
        <v>Витрати з прибирання підвалу, технічних поверхів та покрівлі</v>
      </c>
    </row>
    <row r="9" spans="1:20" x14ac:dyDescent="0.2">
      <c r="A9" s="101" t="s">
        <v>278</v>
      </c>
      <c r="B9" s="102" t="s">
        <v>2</v>
      </c>
      <c r="C9" s="103">
        <v>0.37959999999999999</v>
      </c>
      <c r="D9" s="134">
        <v>0.38129999999999997</v>
      </c>
      <c r="E9" s="104">
        <v>0.42</v>
      </c>
      <c r="F9" s="105">
        <f t="shared" si="6"/>
        <v>0.504</v>
      </c>
      <c r="G9" s="97">
        <f>'расчет тарифа'!AP10</f>
        <v>0.70070963115438589</v>
      </c>
      <c r="H9" s="97">
        <f>'расчет тарифа'!AR10</f>
        <v>0</v>
      </c>
      <c r="I9" s="165">
        <f>'расчет тарифа'!AS10</f>
        <v>0.70070963115438589</v>
      </c>
      <c r="J9" s="151">
        <f t="shared" si="4"/>
        <v>0.3211096311543859</v>
      </c>
      <c r="K9" s="152">
        <f t="shared" si="0"/>
        <v>0.31940963115438592</v>
      </c>
      <c r="L9" s="153">
        <f t="shared" si="5"/>
        <v>0.19670963115438589</v>
      </c>
      <c r="M9" s="99">
        <f t="shared" si="1"/>
        <v>0.84591578280923585</v>
      </c>
      <c r="N9" s="100">
        <f t="shared" si="2"/>
        <v>0.8376858934025333</v>
      </c>
      <c r="O9" s="100">
        <f t="shared" si="3"/>
        <v>0.39029688721108302</v>
      </c>
      <c r="P9" s="70">
        <v>5</v>
      </c>
      <c r="Q9" s="33" t="s">
        <v>11</v>
      </c>
      <c r="R9" s="70">
        <v>5</v>
      </c>
      <c r="S9" s="33" t="s">
        <v>11</v>
      </c>
      <c r="T9" s="92" t="str">
        <f>'расчет тарифа'!A10</f>
        <v>Витрати з технічного обслуговування ліфтів</v>
      </c>
    </row>
    <row r="10" spans="1:20" ht="25.5" x14ac:dyDescent="0.2">
      <c r="A10" s="101" t="s">
        <v>279</v>
      </c>
      <c r="B10" s="102" t="s">
        <v>2</v>
      </c>
      <c r="C10" s="103">
        <v>1.83E-2</v>
      </c>
      <c r="D10" s="134">
        <v>1.84E-2</v>
      </c>
      <c r="E10" s="104">
        <v>0.21</v>
      </c>
      <c r="F10" s="105">
        <f t="shared" si="6"/>
        <v>0.252</v>
      </c>
      <c r="G10" s="97">
        <f>'расчет тарифа'!AP11</f>
        <v>0.39413301856701477</v>
      </c>
      <c r="H10" s="97">
        <f>'расчет тарифа'!AR11</f>
        <v>0</v>
      </c>
      <c r="I10" s="165">
        <f>'расчет тарифа'!AS11</f>
        <v>0.39413301856701477</v>
      </c>
      <c r="J10" s="151">
        <f t="shared" si="4"/>
        <v>0.37583301856701479</v>
      </c>
      <c r="K10" s="152">
        <f t="shared" si="0"/>
        <v>0.3757330185670148</v>
      </c>
      <c r="L10" s="153">
        <f t="shared" si="5"/>
        <v>0.14213301856701477</v>
      </c>
      <c r="M10" s="99">
        <f t="shared" si="1"/>
        <v>20.537323418962554</v>
      </c>
      <c r="N10" s="100">
        <f t="shared" si="2"/>
        <v>20.420272748207324</v>
      </c>
      <c r="O10" s="100">
        <f t="shared" si="3"/>
        <v>0.56401991494847126</v>
      </c>
      <c r="P10" s="70">
        <v>6</v>
      </c>
      <c r="Q10" s="33" t="s">
        <v>17</v>
      </c>
      <c r="R10" s="70">
        <v>6</v>
      </c>
      <c r="S10" s="33" t="s">
        <v>17</v>
      </c>
      <c r="T10" s="92" t="str">
        <f>'расчет тарифа'!A11</f>
        <v>Витрати з обслуговування систем диспетчеризації (підтримання в робочому стані систем у ліфті, на вході до ліфта та на робочому місці диспетчера)</v>
      </c>
    </row>
    <row r="11" spans="1:20" ht="38.25" x14ac:dyDescent="0.2">
      <c r="A11" s="101" t="s">
        <v>280</v>
      </c>
      <c r="B11" s="102" t="s">
        <v>2</v>
      </c>
      <c r="C11" s="103">
        <v>0.73260000000000003</v>
      </c>
      <c r="D11" s="134">
        <v>6.5000000000000002E-2</v>
      </c>
      <c r="E11" s="104">
        <v>1.2</v>
      </c>
      <c r="F11" s="105">
        <f t="shared" si="6"/>
        <v>1.44</v>
      </c>
      <c r="G11" s="97">
        <f>'расчет тарифа'!AP12</f>
        <v>0.95422349174780785</v>
      </c>
      <c r="H11" s="97">
        <f>'расчет тарифа'!AR12</f>
        <v>0</v>
      </c>
      <c r="I11" s="165">
        <f>'расчет тарифа'!AS12</f>
        <v>0.95422349174780785</v>
      </c>
      <c r="J11" s="151">
        <f t="shared" si="4"/>
        <v>0.22162349174780782</v>
      </c>
      <c r="K11" s="152">
        <f t="shared" si="0"/>
        <v>0.8892234917478079</v>
      </c>
      <c r="L11" s="153">
        <f t="shared" si="5"/>
        <v>-0.4857765082521921</v>
      </c>
      <c r="M11" s="99">
        <f t="shared" si="1"/>
        <v>0.3025163687521264</v>
      </c>
      <c r="N11" s="100">
        <f t="shared" si="2"/>
        <v>13.680361411504736</v>
      </c>
      <c r="O11" s="100">
        <f t="shared" si="3"/>
        <v>-0.33734479739735568</v>
      </c>
      <c r="P11" s="70">
        <v>7</v>
      </c>
      <c r="Q11" s="33" t="s">
        <v>12</v>
      </c>
      <c r="R11" s="70">
        <v>7</v>
      </c>
      <c r="S11" s="33" t="s">
        <v>30</v>
      </c>
      <c r="T11" s="92" t="str">
        <f>'расчет тарифа'!A12</f>
        <v>Витрати з технічного обслуговування внутрішньобудинкових систем гарячого і холодного водопостачання, водовідведення, централізованого опалення і зливової каналізації</v>
      </c>
    </row>
    <row r="12" spans="1:20" x14ac:dyDescent="0.2">
      <c r="A12" s="101" t="s">
        <v>281</v>
      </c>
      <c r="B12" s="102" t="s">
        <v>2</v>
      </c>
      <c r="C12" s="103">
        <v>5.1999999999999998E-3</v>
      </c>
      <c r="D12" s="134">
        <v>4.8999999999999998E-3</v>
      </c>
      <c r="E12" s="104">
        <v>0.01</v>
      </c>
      <c r="F12" s="105">
        <f t="shared" si="6"/>
        <v>1.2E-2</v>
      </c>
      <c r="G12" s="97">
        <f>'расчет тарифа'!AP13</f>
        <v>2.3454425657450785E-3</v>
      </c>
      <c r="H12" s="97">
        <f>'расчет тарифа'!AR13</f>
        <v>0</v>
      </c>
      <c r="I12" s="165">
        <f>'расчет тарифа'!AS13</f>
        <v>2.3454425657450785E-3</v>
      </c>
      <c r="J12" s="151">
        <f t="shared" si="4"/>
        <v>-2.8545574342549213E-3</v>
      </c>
      <c r="K12" s="152">
        <f t="shared" si="0"/>
        <v>-2.5545574342549214E-3</v>
      </c>
      <c r="L12" s="153">
        <f t="shared" si="5"/>
        <v>-9.6545574342549213E-3</v>
      </c>
      <c r="M12" s="99">
        <f t="shared" si="1"/>
        <v>-0.54895335274133106</v>
      </c>
      <c r="N12" s="100">
        <f t="shared" si="2"/>
        <v>-0.52133825188875949</v>
      </c>
      <c r="O12" s="100">
        <f t="shared" si="3"/>
        <v>-0.80454645285457682</v>
      </c>
      <c r="P12" s="70">
        <v>8</v>
      </c>
      <c r="Q12" s="33" t="s">
        <v>13</v>
      </c>
      <c r="R12" s="70">
        <v>8</v>
      </c>
      <c r="S12" s="33" t="s">
        <v>13</v>
      </c>
      <c r="T12" s="92" t="str">
        <f>'расчет тарифа'!A13</f>
        <v>Витрати з дератизації</v>
      </c>
    </row>
    <row r="13" spans="1:20" x14ac:dyDescent="0.2">
      <c r="A13" s="101" t="s">
        <v>282</v>
      </c>
      <c r="B13" s="102" t="s">
        <v>2</v>
      </c>
      <c r="C13" s="103">
        <v>1.0200000000000001E-2</v>
      </c>
      <c r="D13" s="134">
        <v>9.7000000000000003E-3</v>
      </c>
      <c r="E13" s="104">
        <v>0.01</v>
      </c>
      <c r="F13" s="105">
        <f t="shared" si="6"/>
        <v>1.2E-2</v>
      </c>
      <c r="G13" s="97">
        <f>'расчет тарифа'!AP14</f>
        <v>2.3454425657450785E-3</v>
      </c>
      <c r="H13" s="97">
        <f>'расчет тарифа'!AR14</f>
        <v>0</v>
      </c>
      <c r="I13" s="165">
        <f>'расчет тарифа'!AS14</f>
        <v>2.3454425657450785E-3</v>
      </c>
      <c r="J13" s="151">
        <f t="shared" si="4"/>
        <v>-7.8545574342549218E-3</v>
      </c>
      <c r="K13" s="152">
        <f t="shared" si="0"/>
        <v>-7.3545574342549214E-3</v>
      </c>
      <c r="L13" s="153">
        <f t="shared" si="5"/>
        <v>-9.6545574342549213E-3</v>
      </c>
      <c r="M13" s="99">
        <f t="shared" si="1"/>
        <v>-0.77005465041714916</v>
      </c>
      <c r="N13" s="100">
        <f t="shared" si="2"/>
        <v>-0.75820179734586823</v>
      </c>
      <c r="O13" s="100">
        <f t="shared" si="3"/>
        <v>-0.80454645285457682</v>
      </c>
      <c r="P13" s="70">
        <v>9</v>
      </c>
      <c r="Q13" s="33" t="s">
        <v>14</v>
      </c>
      <c r="R13" s="70">
        <v>9</v>
      </c>
      <c r="S13" s="33" t="s">
        <v>14</v>
      </c>
      <c r="T13" s="92" t="str">
        <f>'расчет тарифа'!A14</f>
        <v>Витрати з дезінсекції</v>
      </c>
    </row>
    <row r="14" spans="1:20" x14ac:dyDescent="0.2">
      <c r="A14" s="101" t="s">
        <v>283</v>
      </c>
      <c r="B14" s="102" t="s">
        <v>2</v>
      </c>
      <c r="C14" s="103">
        <v>3.8999999999999998E-3</v>
      </c>
      <c r="D14" s="134">
        <v>4.0000000000000001E-3</v>
      </c>
      <c r="E14" s="104">
        <v>0.01</v>
      </c>
      <c r="F14" s="105">
        <f t="shared" si="6"/>
        <v>1.2E-2</v>
      </c>
      <c r="G14" s="97">
        <f>'расчет тарифа'!AP15</f>
        <v>0.15875587690466217</v>
      </c>
      <c r="H14" s="97">
        <f>'расчет тарифа'!AR15</f>
        <v>0</v>
      </c>
      <c r="I14" s="165">
        <f>'расчет тарифа'!AS15</f>
        <v>0.15875587690466217</v>
      </c>
      <c r="J14" s="151">
        <f t="shared" si="4"/>
        <v>0.15485587690466218</v>
      </c>
      <c r="K14" s="152">
        <f t="shared" si="0"/>
        <v>0.15475587690466217</v>
      </c>
      <c r="L14" s="153">
        <f t="shared" si="5"/>
        <v>0.14675587690466216</v>
      </c>
      <c r="M14" s="99">
        <f t="shared" si="1"/>
        <v>39.706635103759531</v>
      </c>
      <c r="N14" s="100">
        <f t="shared" si="2"/>
        <v>38.68896922616554</v>
      </c>
      <c r="O14" s="100">
        <f t="shared" si="3"/>
        <v>12.229656408721848</v>
      </c>
      <c r="P14" s="70">
        <v>10</v>
      </c>
      <c r="Q14" s="33" t="s">
        <v>15</v>
      </c>
      <c r="R14" s="70">
        <v>10</v>
      </c>
      <c r="S14" s="33" t="s">
        <v>31</v>
      </c>
      <c r="T14" s="92" t="str">
        <f>'расчет тарифа'!A15</f>
        <v>Витрати з обслуговування димовентиляційних каналів</v>
      </c>
    </row>
    <row r="15" spans="1:20" ht="25.5" x14ac:dyDescent="0.2">
      <c r="A15" s="101" t="s">
        <v>284</v>
      </c>
      <c r="B15" s="102" t="s">
        <v>2</v>
      </c>
      <c r="C15" s="103">
        <v>6.0999999999999999E-2</v>
      </c>
      <c r="D15" s="134">
        <v>6.13E-2</v>
      </c>
      <c r="E15" s="104">
        <v>0.08</v>
      </c>
      <c r="F15" s="105">
        <f t="shared" si="6"/>
        <v>9.6000000000000002E-2</v>
      </c>
      <c r="G15" s="97">
        <f>'расчет тарифа'!AP16</f>
        <v>0.34190444933405129</v>
      </c>
      <c r="H15" s="97">
        <f>'расчет тарифа'!AR16</f>
        <v>0</v>
      </c>
      <c r="I15" s="165">
        <f>'расчет тарифа'!AS16</f>
        <v>0.34190444933405129</v>
      </c>
      <c r="J15" s="151">
        <f t="shared" si="4"/>
        <v>0.28090444933405129</v>
      </c>
      <c r="K15" s="152">
        <f t="shared" si="0"/>
        <v>0.28060444933405126</v>
      </c>
      <c r="L15" s="153">
        <f t="shared" si="5"/>
        <v>0.24590444933405128</v>
      </c>
      <c r="M15" s="99">
        <f t="shared" si="1"/>
        <v>4.6049909726893654</v>
      </c>
      <c r="N15" s="100">
        <f t="shared" si="2"/>
        <v>4.577560348026938</v>
      </c>
      <c r="O15" s="100">
        <f t="shared" si="3"/>
        <v>2.5615046805630342</v>
      </c>
      <c r="P15" s="70">
        <v>11</v>
      </c>
      <c r="Q15" s="33" t="s">
        <v>16</v>
      </c>
      <c r="R15" s="70">
        <v>11</v>
      </c>
      <c r="S15" s="33" t="s">
        <v>35</v>
      </c>
      <c r="T15" s="92" t="str">
        <f>'расчет тарифа'!A16</f>
        <v>Вартість робіт з технічного обслуговування та поточного ремонту систем протипожежної автоматики та димовидалення, а також за наявності інших внутрішньобудинкових інженерних систем, не зазначених у пунктах 13 і 18 цього Порядку, у разі виконання таких робіт виконавцем визначається за формулою, наведеною в пункті 7 цього Порядку.</v>
      </c>
    </row>
    <row r="16" spans="1:20" x14ac:dyDescent="0.2">
      <c r="A16" s="101" t="s">
        <v>285</v>
      </c>
      <c r="B16" s="102" t="s">
        <v>2</v>
      </c>
      <c r="C16" s="103">
        <v>0.73240000000000005</v>
      </c>
      <c r="D16" s="134">
        <v>0.73570000000000002</v>
      </c>
      <c r="E16" s="104">
        <f>0.1+E17+E18+E19</f>
        <v>0.22300000000000003</v>
      </c>
      <c r="F16" s="105">
        <f t="shared" si="6"/>
        <v>0.2676</v>
      </c>
      <c r="G16" s="97">
        <f>'расчет тарифа'!AP17</f>
        <v>0.91136724323313123</v>
      </c>
      <c r="H16" s="97">
        <f>'расчет тарифа'!AR17</f>
        <v>0</v>
      </c>
      <c r="I16" s="165">
        <f>'расчет тарифа'!AS17</f>
        <v>0.91136724323313123</v>
      </c>
      <c r="J16" s="151">
        <f t="shared" si="4"/>
        <v>0.17896724323313118</v>
      </c>
      <c r="K16" s="152">
        <f t="shared" si="0"/>
        <v>0.17566724323313121</v>
      </c>
      <c r="L16" s="153">
        <f t="shared" si="5"/>
        <v>0.64376724323313117</v>
      </c>
      <c r="M16" s="136">
        <f t="shared" si="1"/>
        <v>0.24435724089722988</v>
      </c>
      <c r="N16" s="137">
        <f t="shared" si="2"/>
        <v>0.23877564664011319</v>
      </c>
      <c r="O16" s="137">
        <f t="shared" si="3"/>
        <v>2.4057071869698476</v>
      </c>
      <c r="P16" s="70">
        <v>13</v>
      </c>
      <c r="Q16" s="33" t="s">
        <v>19</v>
      </c>
      <c r="R16" s="70">
        <v>12</v>
      </c>
      <c r="S16" s="33" t="s">
        <v>32</v>
      </c>
      <c r="T16" s="92" t="str">
        <f>'расчет тарифа'!A17</f>
        <v>Витрати з проведення поточного ремонту конструктивних елементів, внутрішньобудинкових систем гарячого і холодного водопостачання, водовідведення, централізованого опалення та зливової каналізації і технічних пристроїв будинків та елементів зовнішнього упорядження</v>
      </c>
    </row>
    <row r="17" spans="1:20" x14ac:dyDescent="0.2">
      <c r="A17" s="124" t="s">
        <v>20</v>
      </c>
      <c r="B17" s="106" t="s">
        <v>2</v>
      </c>
      <c r="C17" s="175"/>
      <c r="D17" s="176"/>
      <c r="E17" s="107">
        <v>6.0000000000000001E-3</v>
      </c>
      <c r="F17" s="108">
        <f t="shared" si="6"/>
        <v>7.1999999999999998E-3</v>
      </c>
      <c r="G17" s="87"/>
      <c r="H17" s="87"/>
      <c r="I17" s="179"/>
      <c r="J17" s="180">
        <f t="shared" si="4"/>
        <v>0</v>
      </c>
      <c r="K17" s="181">
        <f t="shared" si="0"/>
        <v>0</v>
      </c>
      <c r="L17" s="154">
        <f t="shared" si="5"/>
        <v>-7.1999999999999998E-3</v>
      </c>
      <c r="M17" s="184">
        <f t="shared" si="1"/>
        <v>0</v>
      </c>
      <c r="N17" s="185">
        <f t="shared" si="2"/>
        <v>0</v>
      </c>
      <c r="O17" s="89">
        <f t="shared" si="3"/>
        <v>-1</v>
      </c>
      <c r="P17" s="70">
        <v>14</v>
      </c>
      <c r="Q17" s="33" t="s">
        <v>20</v>
      </c>
      <c r="T17" s="92" t="str">
        <f>'расчет тарифа'!A24</f>
        <v>Итог</v>
      </c>
    </row>
    <row r="18" spans="1:20" x14ac:dyDescent="0.2">
      <c r="A18" s="124" t="s">
        <v>21</v>
      </c>
      <c r="B18" s="106" t="s">
        <v>2</v>
      </c>
      <c r="C18" s="175"/>
      <c r="D18" s="176"/>
      <c r="E18" s="107">
        <v>7.0000000000000001E-3</v>
      </c>
      <c r="F18" s="108">
        <f t="shared" si="6"/>
        <v>8.3999999999999995E-3</v>
      </c>
      <c r="G18" s="87"/>
      <c r="H18" s="87"/>
      <c r="I18" s="179"/>
      <c r="J18" s="180">
        <f t="shared" si="4"/>
        <v>0</v>
      </c>
      <c r="K18" s="181">
        <f t="shared" si="0"/>
        <v>0</v>
      </c>
      <c r="L18" s="154">
        <f t="shared" si="5"/>
        <v>-8.3999999999999995E-3</v>
      </c>
      <c r="M18" s="184">
        <f t="shared" si="1"/>
        <v>0</v>
      </c>
      <c r="N18" s="185">
        <f t="shared" si="2"/>
        <v>0</v>
      </c>
      <c r="O18" s="89">
        <f t="shared" si="3"/>
        <v>-1</v>
      </c>
      <c r="P18" s="70">
        <v>15</v>
      </c>
      <c r="Q18" s="33" t="s">
        <v>21</v>
      </c>
      <c r="T18" s="92">
        <f>'расчет тарифа'!A25</f>
        <v>0</v>
      </c>
    </row>
    <row r="19" spans="1:20" x14ac:dyDescent="0.2">
      <c r="A19" s="125" t="s">
        <v>27</v>
      </c>
      <c r="B19" s="109" t="s">
        <v>2</v>
      </c>
      <c r="C19" s="177"/>
      <c r="D19" s="178"/>
      <c r="E19" s="110">
        <v>0.11</v>
      </c>
      <c r="F19" s="111">
        <f t="shared" si="6"/>
        <v>0.13200000000000001</v>
      </c>
      <c r="G19" s="97"/>
      <c r="H19" s="97"/>
      <c r="I19" s="170"/>
      <c r="J19" s="182">
        <f t="shared" si="4"/>
        <v>0</v>
      </c>
      <c r="K19" s="183">
        <f t="shared" si="0"/>
        <v>0</v>
      </c>
      <c r="L19" s="155">
        <f t="shared" si="5"/>
        <v>-0.13200000000000001</v>
      </c>
      <c r="M19" s="186">
        <f t="shared" si="1"/>
        <v>0</v>
      </c>
      <c r="N19" s="174">
        <f t="shared" si="2"/>
        <v>0</v>
      </c>
      <c r="O19" s="100">
        <f t="shared" si="3"/>
        <v>-1</v>
      </c>
      <c r="P19" s="70">
        <v>21</v>
      </c>
      <c r="Q19" s="33" t="s">
        <v>27</v>
      </c>
      <c r="R19" s="70">
        <v>18</v>
      </c>
      <c r="S19" s="33" t="s">
        <v>39</v>
      </c>
      <c r="T19" s="92">
        <f>'расчет тарифа'!A27</f>
        <v>0</v>
      </c>
    </row>
    <row r="20" spans="1:20" x14ac:dyDescent="0.2">
      <c r="A20" s="101" t="s">
        <v>286</v>
      </c>
      <c r="B20" s="102" t="s">
        <v>2</v>
      </c>
      <c r="C20" s="103">
        <v>2.8899999999999999E-2</v>
      </c>
      <c r="D20" s="134">
        <v>1.9099999999999999E-2</v>
      </c>
      <c r="E20" s="104">
        <v>0.05</v>
      </c>
      <c r="F20" s="105">
        <f t="shared" si="6"/>
        <v>0.06</v>
      </c>
      <c r="G20" s="97">
        <f>'расчет тарифа'!AP18</f>
        <v>9.9376559075403548E-2</v>
      </c>
      <c r="H20" s="97">
        <f>'расчет тарифа'!AR18</f>
        <v>6.8126996171262277E-2</v>
      </c>
      <c r="I20" s="165">
        <f>'расчет тарифа'!AS18</f>
        <v>0.16750355524666583</v>
      </c>
      <c r="J20" s="151">
        <f t="shared" si="4"/>
        <v>0.13860355524666582</v>
      </c>
      <c r="K20" s="152">
        <f t="shared" si="0"/>
        <v>0.14840355524666582</v>
      </c>
      <c r="L20" s="153">
        <f t="shared" si="5"/>
        <v>0.10750355524666583</v>
      </c>
      <c r="M20" s="99">
        <f t="shared" si="1"/>
        <v>4.7959707697808245</v>
      </c>
      <c r="N20" s="100">
        <f t="shared" si="2"/>
        <v>7.7698196464222953</v>
      </c>
      <c r="O20" s="100">
        <f t="shared" si="3"/>
        <v>1.7917259207777638</v>
      </c>
      <c r="P20" s="70">
        <v>16</v>
      </c>
      <c r="Q20" s="33" t="s">
        <v>22</v>
      </c>
      <c r="R20" s="70">
        <v>13</v>
      </c>
      <c r="S20" s="33" t="s">
        <v>33</v>
      </c>
      <c r="T20" s="92" t="str">
        <f>'расчет тарифа'!A18</f>
        <v>Витрати з поливання дворів, клумб і газонів</v>
      </c>
    </row>
    <row r="21" spans="1:20" ht="38.25" x14ac:dyDescent="0.2">
      <c r="A21" s="101" t="s">
        <v>287</v>
      </c>
      <c r="B21" s="102" t="s">
        <v>2</v>
      </c>
      <c r="C21" s="103">
        <v>1.83E-2</v>
      </c>
      <c r="D21" s="134">
        <v>1.84E-2</v>
      </c>
      <c r="E21" s="104">
        <v>3.0000000000000001E-3</v>
      </c>
      <c r="F21" s="105">
        <f t="shared" si="6"/>
        <v>3.5999999999999999E-3</v>
      </c>
      <c r="G21" s="97">
        <f>'расчет тарифа'!AP19</f>
        <v>5.0996844280398149E-2</v>
      </c>
      <c r="H21" s="97">
        <f>'расчет тарифа'!AR19</f>
        <v>6.8126996171262277E-2</v>
      </c>
      <c r="I21" s="165">
        <f>'расчет тарифа'!AS19</f>
        <v>0.11912384045166043</v>
      </c>
      <c r="J21" s="151">
        <f t="shared" si="4"/>
        <v>0.10082384045166043</v>
      </c>
      <c r="K21" s="152">
        <f t="shared" si="0"/>
        <v>0.10072384045166043</v>
      </c>
      <c r="L21" s="153">
        <f t="shared" si="5"/>
        <v>0.11552384045166042</v>
      </c>
      <c r="M21" s="99">
        <f t="shared" si="1"/>
        <v>5.5094994782328097</v>
      </c>
      <c r="N21" s="100">
        <f t="shared" si="2"/>
        <v>5.4741217636771973</v>
      </c>
      <c r="O21" s="100">
        <f t="shared" si="3"/>
        <v>32.089955681016789</v>
      </c>
      <c r="P21" s="70">
        <v>20</v>
      </c>
      <c r="Q21" s="33" t="s">
        <v>25</v>
      </c>
      <c r="R21" s="70">
        <v>14</v>
      </c>
      <c r="S21" s="33" t="s">
        <v>34</v>
      </c>
      <c r="T21" s="92" t="str">
        <f>'расчет тарифа'!A19</f>
        <v>Витрати з прибирання і вивезення снігу</v>
      </c>
    </row>
    <row r="22" spans="1:20" x14ac:dyDescent="0.2">
      <c r="A22" s="187" t="s">
        <v>288</v>
      </c>
      <c r="B22" s="188" t="s">
        <v>2</v>
      </c>
      <c r="C22" s="177">
        <v>0</v>
      </c>
      <c r="D22" s="178">
        <v>0</v>
      </c>
      <c r="E22" s="189"/>
      <c r="F22" s="190">
        <f t="shared" si="6"/>
        <v>0</v>
      </c>
      <c r="G22" s="191">
        <f>'расчет тарифа'!AP20</f>
        <v>0</v>
      </c>
      <c r="H22" s="191">
        <f>'расчет тарифа'!AR20</f>
        <v>0</v>
      </c>
      <c r="I22" s="170">
        <f>'расчет тарифа'!AS20</f>
        <v>0</v>
      </c>
      <c r="J22" s="182">
        <f t="shared" si="4"/>
        <v>0</v>
      </c>
      <c r="K22" s="183">
        <f t="shared" si="0"/>
        <v>0</v>
      </c>
      <c r="L22" s="192">
        <f t="shared" si="5"/>
        <v>0</v>
      </c>
      <c r="M22" s="173">
        <f t="shared" si="1"/>
        <v>0</v>
      </c>
      <c r="N22" s="174">
        <f t="shared" si="2"/>
        <v>0</v>
      </c>
      <c r="O22" s="174">
        <f t="shared" si="3"/>
        <v>0</v>
      </c>
      <c r="R22" s="70">
        <v>15</v>
      </c>
      <c r="S22" s="33" t="s">
        <v>36</v>
      </c>
      <c r="T22" s="92" t="str">
        <f>'расчет тарифа'!A20</f>
        <v>Витрати з експлуатації номерних знаків на будинках</v>
      </c>
    </row>
    <row r="23" spans="1:20" ht="25.5" x14ac:dyDescent="0.2">
      <c r="A23" s="101" t="s">
        <v>289</v>
      </c>
      <c r="B23" s="102" t="s">
        <v>2</v>
      </c>
      <c r="C23" s="103">
        <v>0.19409999999999999</v>
      </c>
      <c r="D23" s="134">
        <v>0.19439999999999999</v>
      </c>
      <c r="E23" s="104">
        <v>0.3</v>
      </c>
      <c r="F23" s="105">
        <f t="shared" si="6"/>
        <v>0.36</v>
      </c>
      <c r="G23" s="97">
        <f>'расчет тарифа'!AP21</f>
        <v>9.1050444036730266E-2</v>
      </c>
      <c r="H23" s="97">
        <f>'расчет тарифа'!AR21</f>
        <v>1.417038153240828E-2</v>
      </c>
      <c r="I23" s="165">
        <f>'расчет тарифа'!AS21</f>
        <v>0.10522082556913855</v>
      </c>
      <c r="J23" s="151">
        <f t="shared" si="4"/>
        <v>-8.8879174430861449E-2</v>
      </c>
      <c r="K23" s="152">
        <f t="shared" si="0"/>
        <v>-8.9179174430861444E-2</v>
      </c>
      <c r="L23" s="153">
        <f t="shared" si="5"/>
        <v>-0.25477917443086145</v>
      </c>
      <c r="M23" s="99">
        <f t="shared" si="1"/>
        <v>-0.45790404137486584</v>
      </c>
      <c r="N23" s="100">
        <f t="shared" si="2"/>
        <v>-0.45874060921225024</v>
      </c>
      <c r="O23" s="100">
        <f t="shared" si="3"/>
        <v>-0.70771992897461522</v>
      </c>
      <c r="P23" s="70">
        <v>18</v>
      </c>
      <c r="Q23" s="33" t="s">
        <v>24</v>
      </c>
      <c r="R23" s="70">
        <v>16</v>
      </c>
      <c r="S23" s="33" t="s">
        <v>37</v>
      </c>
      <c r="T23" s="92" t="str">
        <f>'расчет тарифа'!A21</f>
        <v>Витрати з освітлення місць загального користування і підвальних приміщень та підкачування води</v>
      </c>
    </row>
    <row r="24" spans="1:20" x14ac:dyDescent="0.2">
      <c r="A24" s="101" t="s">
        <v>290</v>
      </c>
      <c r="B24" s="102" t="s">
        <v>2</v>
      </c>
      <c r="C24" s="103">
        <v>0.17069999999999999</v>
      </c>
      <c r="D24" s="134">
        <v>0.17150000000000001</v>
      </c>
      <c r="E24" s="104">
        <v>0.13</v>
      </c>
      <c r="F24" s="105">
        <f t="shared" si="6"/>
        <v>0.156</v>
      </c>
      <c r="G24" s="97">
        <f>'расчет тарифа'!AP22</f>
        <v>0.31854382753375021</v>
      </c>
      <c r="H24" s="97">
        <f>'расчет тарифа'!AR22</f>
        <v>4.9575678830582892E-2</v>
      </c>
      <c r="I24" s="165">
        <f>'расчет тарифа'!AS22</f>
        <v>0.3681195063643331</v>
      </c>
      <c r="J24" s="151">
        <f t="shared" si="4"/>
        <v>0.19741950636433311</v>
      </c>
      <c r="K24" s="152">
        <f t="shared" si="0"/>
        <v>0.19661950636433309</v>
      </c>
      <c r="L24" s="153">
        <f t="shared" si="5"/>
        <v>0.2121195063643331</v>
      </c>
      <c r="M24" s="99">
        <f t="shared" si="1"/>
        <v>1.1565290355262632</v>
      </c>
      <c r="N24" s="100">
        <f t="shared" si="2"/>
        <v>1.1464694248649159</v>
      </c>
      <c r="O24" s="100">
        <f t="shared" si="3"/>
        <v>1.3597404254123915</v>
      </c>
      <c r="P24" s="70">
        <v>19</v>
      </c>
      <c r="Q24" s="33" t="s">
        <v>26</v>
      </c>
      <c r="R24" s="70">
        <v>17</v>
      </c>
      <c r="S24" s="33" t="s">
        <v>38</v>
      </c>
      <c r="T24" s="92" t="str">
        <f>'расчет тарифа'!A22</f>
        <v>Витрати з енергопостачання для ліфтів</v>
      </c>
    </row>
    <row r="25" spans="1:20" s="92" customFormat="1" ht="25.5" x14ac:dyDescent="0.2">
      <c r="A25" s="167" t="s">
        <v>23</v>
      </c>
      <c r="B25" s="127" t="s">
        <v>2</v>
      </c>
      <c r="C25" s="168"/>
      <c r="D25" s="169"/>
      <c r="E25" s="97">
        <v>0.03</v>
      </c>
      <c r="F25" s="98">
        <f t="shared" si="6"/>
        <v>3.5999999999999997E-2</v>
      </c>
      <c r="G25" s="97"/>
      <c r="H25" s="97"/>
      <c r="I25" s="170"/>
      <c r="J25" s="171">
        <f t="shared" si="4"/>
        <v>0</v>
      </c>
      <c r="K25" s="172">
        <f t="shared" si="0"/>
        <v>0</v>
      </c>
      <c r="L25" s="156">
        <f t="shared" si="5"/>
        <v>-3.5999999999999997E-2</v>
      </c>
      <c r="M25" s="173">
        <f t="shared" si="1"/>
        <v>0</v>
      </c>
      <c r="N25" s="174">
        <f t="shared" si="2"/>
        <v>0</v>
      </c>
      <c r="O25" s="100">
        <f t="shared" si="3"/>
        <v>-1</v>
      </c>
      <c r="P25" s="126">
        <v>17</v>
      </c>
      <c r="Q25" s="92" t="s">
        <v>23</v>
      </c>
      <c r="R25" s="126"/>
      <c r="T25" s="92">
        <f>'расчет тарифа'!A23</f>
        <v>0</v>
      </c>
    </row>
    <row r="26" spans="1:20" s="92" customFormat="1" x14ac:dyDescent="0.2">
      <c r="A26" s="167" t="s">
        <v>18</v>
      </c>
      <c r="B26" s="127" t="s">
        <v>2</v>
      </c>
      <c r="C26" s="168"/>
      <c r="D26" s="169"/>
      <c r="E26" s="97">
        <v>3.0000000000000001E-3</v>
      </c>
      <c r="F26" s="98">
        <f t="shared" si="6"/>
        <v>3.5999999999999999E-3</v>
      </c>
      <c r="G26" s="97"/>
      <c r="H26" s="97"/>
      <c r="I26" s="170"/>
      <c r="J26" s="171">
        <f t="shared" si="4"/>
        <v>0</v>
      </c>
      <c r="K26" s="172">
        <f t="shared" si="0"/>
        <v>0</v>
      </c>
      <c r="L26" s="156">
        <f t="shared" si="5"/>
        <v>-3.5999999999999999E-3</v>
      </c>
      <c r="M26" s="173">
        <f t="shared" si="1"/>
        <v>0</v>
      </c>
      <c r="N26" s="174">
        <f t="shared" si="2"/>
        <v>0</v>
      </c>
      <c r="O26" s="100">
        <f t="shared" si="3"/>
        <v>-1</v>
      </c>
      <c r="P26" s="126">
        <v>12</v>
      </c>
      <c r="Q26" s="92" t="s">
        <v>18</v>
      </c>
      <c r="R26" s="126"/>
      <c r="T26" s="92">
        <f>'расчет тарифа'!A26</f>
        <v>0</v>
      </c>
    </row>
    <row r="27" spans="1:20" s="118" customFormat="1" ht="30" x14ac:dyDescent="0.2">
      <c r="A27" s="112" t="s">
        <v>291</v>
      </c>
      <c r="B27" s="113" t="s">
        <v>2</v>
      </c>
      <c r="C27" s="114">
        <v>5.016</v>
      </c>
      <c r="D27" s="135">
        <v>4.0456000000000003</v>
      </c>
      <c r="E27" s="115">
        <f>SUM(E5:E26)-E17-E18-E19</f>
        <v>4.3749999999999991</v>
      </c>
      <c r="F27" s="116">
        <f>SUM(F5:F26)-F17-F18-F19</f>
        <v>5.2499999999999964</v>
      </c>
      <c r="G27" s="115">
        <f>SUM(G5:G26)</f>
        <v>5.6199999791674964</v>
      </c>
      <c r="H27" s="115">
        <f>SUM(H5:H26)</f>
        <v>0.20000005270551574</v>
      </c>
      <c r="I27" s="160">
        <f>SUM(I5:I26)</f>
        <v>5.8200000318730121</v>
      </c>
      <c r="J27" s="157">
        <f t="shared" si="4"/>
        <v>0.80400003187301206</v>
      </c>
      <c r="K27" s="158">
        <f t="shared" si="0"/>
        <v>1.7744000318730118</v>
      </c>
      <c r="L27" s="159">
        <f t="shared" si="5"/>
        <v>0.57000003187301562</v>
      </c>
      <c r="M27" s="99">
        <f t="shared" si="1"/>
        <v>0.1602870876939817</v>
      </c>
      <c r="N27" s="100">
        <f t="shared" si="2"/>
        <v>0.43859996832929893</v>
      </c>
      <c r="O27" s="100">
        <f t="shared" si="3"/>
        <v>0.10857143464247931</v>
      </c>
      <c r="P27" s="117"/>
      <c r="R27" s="117"/>
    </row>
  </sheetData>
  <autoFilter ref="A3:S3"/>
  <phoneticPr fontId="3" type="noConversion"/>
  <printOptions horizontalCentered="1"/>
  <pageMargins left="0.15748031496062992" right="0.15748031496062992" top="0.78740157480314965" bottom="0.39370078740157483" header="0.51181102362204722" footer="0.51181102362204722"/>
  <pageSetup paperSize="9" scale="76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25" workbookViewId="0">
      <selection activeCell="G1" sqref="G1:N65536"/>
    </sheetView>
  </sheetViews>
  <sheetFormatPr defaultRowHeight="12.75" x14ac:dyDescent="0.2"/>
  <sheetData>
    <row r="1" spans="1:1" s="2" customFormat="1" ht="252" x14ac:dyDescent="3.2">
      <c r="A1" s="2" t="s">
        <v>5</v>
      </c>
    </row>
  </sheetData>
  <phoneticPr fontId="3" type="noConversion"/>
  <pageMargins left="0" right="0" top="0.98425196850393704" bottom="0.98425196850393704" header="0.51181102362204722" footer="0.51181102362204722"/>
  <pageSetup paperSize="9" fitToWidth="7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24"/>
  <sheetViews>
    <sheetView zoomScale="80" workbookViewId="0">
      <pane ySplit="1" topLeftCell="A41" activePane="bottomLeft" state="frozen"/>
      <selection activeCell="G1" sqref="G1:N65536"/>
      <selection pane="bottomLeft" activeCell="G1" sqref="G1:N65536"/>
    </sheetView>
  </sheetViews>
  <sheetFormatPr defaultRowHeight="12.75" x14ac:dyDescent="0.2"/>
  <cols>
    <col min="1" max="1" width="3.42578125" style="20" bestFit="1" customWidth="1"/>
    <col min="2" max="2" width="37.5703125" style="18" customWidth="1"/>
    <col min="3" max="3" width="7.140625" style="20" bestFit="1" customWidth="1"/>
    <col min="4" max="4" width="41.5703125" style="21" customWidth="1"/>
    <col min="5" max="5" width="55" style="18" bestFit="1" customWidth="1"/>
    <col min="6" max="6" width="10.85546875" style="15" bestFit="1" customWidth="1"/>
    <col min="7" max="7" width="6.85546875" style="16" customWidth="1"/>
    <col min="8" max="9" width="7.140625" style="17" bestFit="1" customWidth="1"/>
    <col min="10" max="10" width="7.140625" style="16" bestFit="1" customWidth="1"/>
    <col min="11" max="11" width="7.140625" style="18" customWidth="1"/>
    <col min="12" max="16384" width="9.140625" style="18"/>
  </cols>
  <sheetData>
    <row r="1" spans="1:11" s="20" customFormat="1" x14ac:dyDescent="0.2">
      <c r="A1" s="20" t="s">
        <v>163</v>
      </c>
      <c r="B1" s="25" t="s">
        <v>164</v>
      </c>
      <c r="C1" s="25" t="s">
        <v>167</v>
      </c>
      <c r="D1" s="26" t="s">
        <v>3</v>
      </c>
      <c r="E1" s="25" t="s">
        <v>165</v>
      </c>
      <c r="F1" s="27" t="s">
        <v>168</v>
      </c>
      <c r="G1" s="28"/>
      <c r="H1" s="29"/>
      <c r="I1" s="29"/>
      <c r="J1" s="28"/>
    </row>
    <row r="2" spans="1:11" ht="38.25" x14ac:dyDescent="0.2">
      <c r="A2" s="20">
        <v>7</v>
      </c>
      <c r="B2" s="30" t="s">
        <v>40</v>
      </c>
      <c r="C2" s="31" t="s">
        <v>87</v>
      </c>
      <c r="D2" s="32" t="s">
        <v>88</v>
      </c>
      <c r="E2" s="31" t="s">
        <v>41</v>
      </c>
      <c r="F2" s="15">
        <f>(F3+F4+F5+F6+F7)</f>
        <v>48285</v>
      </c>
      <c r="G2" s="16">
        <f>(F3+F4+F5+F6+F7)/F8</f>
        <v>1.0826961454806376</v>
      </c>
      <c r="H2" s="17">
        <f>ЖЕК!C5</f>
        <v>0.46529999999999999</v>
      </c>
      <c r="I2" s="17">
        <f>ЖЕК!D5</f>
        <v>0.32819999999999999</v>
      </c>
      <c r="J2" s="16">
        <f>ЖЕК!F5</f>
        <v>1.008</v>
      </c>
      <c r="K2" s="16">
        <f>G2-J2</f>
        <v>7.4696145480637632E-2</v>
      </c>
    </row>
    <row r="3" spans="1:11" s="6" customFormat="1" ht="15.75" hidden="1" x14ac:dyDescent="0.2">
      <c r="A3" s="4"/>
      <c r="B3" s="5"/>
      <c r="C3" s="4" t="s">
        <v>89</v>
      </c>
      <c r="D3" s="5" t="s">
        <v>113</v>
      </c>
      <c r="F3" s="10">
        <v>10000</v>
      </c>
      <c r="G3" s="10"/>
    </row>
    <row r="4" spans="1:11" s="6" customFormat="1" ht="47.25" hidden="1" x14ac:dyDescent="0.2">
      <c r="A4" s="4"/>
      <c r="B4" s="5"/>
      <c r="C4" s="4" t="s">
        <v>90</v>
      </c>
      <c r="D4" s="5" t="s">
        <v>114</v>
      </c>
      <c r="F4" s="10">
        <v>6300</v>
      </c>
      <c r="G4" s="10"/>
    </row>
    <row r="5" spans="1:11" s="6" customFormat="1" ht="15.75" hidden="1" x14ac:dyDescent="0.2">
      <c r="A5" s="4"/>
      <c r="B5" s="5"/>
      <c r="C5" s="4" t="s">
        <v>91</v>
      </c>
      <c r="D5" s="5" t="s">
        <v>115</v>
      </c>
      <c r="F5" s="10">
        <f>(F3+F4)*1.95</f>
        <v>31785</v>
      </c>
      <c r="G5" s="10"/>
    </row>
    <row r="6" spans="1:11" s="6" customFormat="1" ht="15.75" hidden="1" x14ac:dyDescent="0.2">
      <c r="A6" s="4"/>
      <c r="B6" s="5"/>
      <c r="C6" s="4" t="s">
        <v>92</v>
      </c>
      <c r="D6" s="5" t="s">
        <v>116</v>
      </c>
      <c r="F6" s="10">
        <v>200</v>
      </c>
      <c r="G6" s="10"/>
    </row>
    <row r="7" spans="1:11" s="6" customFormat="1" ht="15.75" hidden="1" x14ac:dyDescent="0.2">
      <c r="A7" s="4"/>
      <c r="B7" s="5"/>
      <c r="C7" s="4" t="s">
        <v>93</v>
      </c>
      <c r="D7" s="5" t="s">
        <v>117</v>
      </c>
      <c r="F7" s="10"/>
      <c r="G7" s="10"/>
    </row>
    <row r="8" spans="1:11" s="6" customFormat="1" ht="94.5" hidden="1" x14ac:dyDescent="0.2">
      <c r="A8" s="4"/>
      <c r="B8" s="5"/>
      <c r="C8" s="4" t="s">
        <v>94</v>
      </c>
      <c r="D8" s="5" t="s">
        <v>118</v>
      </c>
      <c r="F8" s="10">
        <v>44597</v>
      </c>
      <c r="G8" s="10"/>
    </row>
    <row r="9" spans="1:11" ht="25.5" x14ac:dyDescent="0.2">
      <c r="A9" s="20">
        <v>8</v>
      </c>
      <c r="B9" s="30" t="s">
        <v>42</v>
      </c>
      <c r="C9" s="31" t="s">
        <v>96</v>
      </c>
      <c r="D9" s="32" t="s">
        <v>97</v>
      </c>
      <c r="E9" s="31" t="s">
        <v>43</v>
      </c>
      <c r="F9" s="15">
        <f>(F10+F11+F12+F13+F14)</f>
        <v>33835</v>
      </c>
      <c r="G9" s="16">
        <f>(F10+F11+F12+F13+F14)/F15</f>
        <v>0.75868331950579637</v>
      </c>
      <c r="H9" s="17">
        <f>ЖЕК!C6</f>
        <v>1.7484</v>
      </c>
      <c r="I9" s="17">
        <f>ЖЕК!D6</f>
        <v>1.5873999999999999</v>
      </c>
      <c r="J9" s="16">
        <f>ЖЕК!F6</f>
        <v>0.876</v>
      </c>
      <c r="K9" s="16">
        <f>G9-J9</f>
        <v>-0.11731668049420363</v>
      </c>
    </row>
    <row r="10" spans="1:11" s="6" customFormat="1" ht="15.75" hidden="1" x14ac:dyDescent="0.2">
      <c r="A10" s="4"/>
      <c r="B10" s="5"/>
      <c r="C10" s="4" t="s">
        <v>89</v>
      </c>
      <c r="D10" s="5" t="s">
        <v>113</v>
      </c>
      <c r="F10" s="10">
        <v>5000</v>
      </c>
      <c r="G10" s="10"/>
    </row>
    <row r="11" spans="1:11" s="6" customFormat="1" ht="47.25" hidden="1" x14ac:dyDescent="0.2">
      <c r="A11" s="4"/>
      <c r="B11" s="5"/>
      <c r="C11" s="4" t="s">
        <v>90</v>
      </c>
      <c r="D11" s="5" t="s">
        <v>114</v>
      </c>
      <c r="F11" s="10">
        <v>6300</v>
      </c>
      <c r="G11" s="10"/>
    </row>
    <row r="12" spans="1:11" s="6" customFormat="1" ht="15.75" hidden="1" x14ac:dyDescent="0.2">
      <c r="A12" s="4"/>
      <c r="B12" s="5"/>
      <c r="C12" s="4" t="s">
        <v>91</v>
      </c>
      <c r="D12" s="5" t="s">
        <v>115</v>
      </c>
      <c r="F12" s="10">
        <f>(F10+F11)*1.95</f>
        <v>22035</v>
      </c>
      <c r="G12" s="10"/>
    </row>
    <row r="13" spans="1:11" s="6" customFormat="1" ht="15.75" hidden="1" x14ac:dyDescent="0.2">
      <c r="A13" s="4"/>
      <c r="B13" s="5"/>
      <c r="C13" s="4" t="s">
        <v>92</v>
      </c>
      <c r="D13" s="5" t="s">
        <v>116</v>
      </c>
      <c r="F13" s="10">
        <v>500</v>
      </c>
      <c r="G13" s="10"/>
    </row>
    <row r="14" spans="1:11" s="6" customFormat="1" ht="15.75" hidden="1" x14ac:dyDescent="0.2">
      <c r="A14" s="4"/>
      <c r="B14" s="5"/>
      <c r="C14" s="4" t="s">
        <v>93</v>
      </c>
      <c r="D14" s="5" t="s">
        <v>117</v>
      </c>
      <c r="F14" s="10"/>
      <c r="G14" s="10"/>
    </row>
    <row r="15" spans="1:11" s="6" customFormat="1" ht="173.25" hidden="1" x14ac:dyDescent="0.2">
      <c r="A15" s="4"/>
      <c r="B15" s="5"/>
      <c r="C15" s="4" t="s">
        <v>95</v>
      </c>
      <c r="D15" s="5" t="s">
        <v>119</v>
      </c>
      <c r="F15" s="10">
        <v>44597</v>
      </c>
      <c r="G15" s="10"/>
    </row>
    <row r="16" spans="1:11" ht="114.75" x14ac:dyDescent="0.2">
      <c r="A16" s="20">
        <v>9</v>
      </c>
      <c r="B16" s="30" t="s">
        <v>44</v>
      </c>
      <c r="C16" s="31" t="s">
        <v>98</v>
      </c>
      <c r="D16" s="32" t="s">
        <v>99</v>
      </c>
      <c r="E16" s="31" t="s">
        <v>45</v>
      </c>
      <c r="F16" s="15">
        <f>(F18+F22+F26+F30)</f>
        <v>21000</v>
      </c>
      <c r="G16" s="16">
        <f>(F18+F22+F26+F30)/F17</f>
        <v>0.47088369172814315</v>
      </c>
      <c r="H16" s="17">
        <f>ЖЕК!C7</f>
        <v>0.44690000000000002</v>
      </c>
      <c r="I16" s="17">
        <f>ЖЕК!D7</f>
        <v>0.44629999999999997</v>
      </c>
      <c r="J16" s="17">
        <f>ЖЕК!F7</f>
        <v>0.14399999999999999</v>
      </c>
      <c r="K16" s="16">
        <f>G16-J16</f>
        <v>0.32688369172814313</v>
      </c>
    </row>
    <row r="17" spans="1:7" s="6" customFormat="1" ht="63" hidden="1" x14ac:dyDescent="0.2">
      <c r="A17" s="4"/>
      <c r="B17" s="5"/>
      <c r="C17" s="4" t="s">
        <v>176</v>
      </c>
      <c r="D17" s="5" t="s">
        <v>120</v>
      </c>
      <c r="F17" s="10">
        <v>44597</v>
      </c>
      <c r="G17" s="10"/>
    </row>
    <row r="18" spans="1:7" s="6" customFormat="1" ht="78.75" hidden="1" x14ac:dyDescent="0.2">
      <c r="A18" s="4"/>
      <c r="B18" s="8"/>
      <c r="C18" s="9" t="s">
        <v>100</v>
      </c>
      <c r="D18" s="7" t="s">
        <v>121</v>
      </c>
      <c r="E18" s="9" t="s">
        <v>46</v>
      </c>
      <c r="F18" s="10">
        <f>F19*F20*F21</f>
        <v>21000</v>
      </c>
      <c r="G18" s="10"/>
    </row>
    <row r="19" spans="1:7" s="6" customFormat="1" ht="47.25" hidden="1" x14ac:dyDescent="0.2">
      <c r="A19" s="4"/>
      <c r="B19" s="5"/>
      <c r="C19" s="4" t="s">
        <v>177</v>
      </c>
      <c r="D19" s="5" t="s">
        <v>122</v>
      </c>
      <c r="F19" s="10">
        <v>2000</v>
      </c>
      <c r="G19" s="10"/>
    </row>
    <row r="20" spans="1:7" s="6" customFormat="1" ht="94.5" hidden="1" x14ac:dyDescent="0.2">
      <c r="A20" s="4"/>
      <c r="B20" s="5"/>
      <c r="C20" s="4" t="s">
        <v>178</v>
      </c>
      <c r="D20" s="5" t="s">
        <v>123</v>
      </c>
      <c r="F20" s="10">
        <v>0.25</v>
      </c>
      <c r="G20" s="10"/>
    </row>
    <row r="21" spans="1:7" s="6" customFormat="1" ht="78.75" hidden="1" x14ac:dyDescent="0.2">
      <c r="A21" s="4"/>
      <c r="B21" s="5"/>
      <c r="C21" s="4" t="s">
        <v>179</v>
      </c>
      <c r="D21" s="5" t="s">
        <v>124</v>
      </c>
      <c r="F21" s="10">
        <v>42</v>
      </c>
      <c r="G21" s="10"/>
    </row>
    <row r="22" spans="1:7" s="6" customFormat="1" ht="94.5" hidden="1" x14ac:dyDescent="0.2">
      <c r="A22" s="4"/>
      <c r="B22" s="8"/>
      <c r="C22" s="9" t="s">
        <v>180</v>
      </c>
      <c r="D22" s="7" t="s">
        <v>125</v>
      </c>
      <c r="E22" s="9" t="s">
        <v>47</v>
      </c>
      <c r="F22" s="10">
        <f>F23*F24*F25</f>
        <v>0</v>
      </c>
      <c r="G22" s="10"/>
    </row>
    <row r="23" spans="1:7" s="6" customFormat="1" ht="47.25" hidden="1" x14ac:dyDescent="0.2">
      <c r="A23" s="4"/>
      <c r="B23" s="5"/>
      <c r="C23" s="4" t="s">
        <v>177</v>
      </c>
      <c r="D23" s="5" t="s">
        <v>122</v>
      </c>
      <c r="F23" s="10">
        <v>2000</v>
      </c>
      <c r="G23" s="10"/>
    </row>
    <row r="24" spans="1:7" s="6" customFormat="1" ht="94.5" hidden="1" x14ac:dyDescent="0.2">
      <c r="A24" s="4"/>
      <c r="B24" s="5"/>
      <c r="C24" s="4" t="s">
        <v>181</v>
      </c>
      <c r="D24" s="5" t="s">
        <v>126</v>
      </c>
      <c r="F24" s="10">
        <v>0</v>
      </c>
      <c r="G24" s="10"/>
    </row>
    <row r="25" spans="1:7" s="6" customFormat="1" ht="78.75" hidden="1" x14ac:dyDescent="0.2">
      <c r="A25" s="4"/>
      <c r="B25" s="5"/>
      <c r="C25" s="4" t="s">
        <v>182</v>
      </c>
      <c r="D25" s="5" t="s">
        <v>127</v>
      </c>
      <c r="F25" s="10"/>
      <c r="G25" s="10"/>
    </row>
    <row r="26" spans="1:7" s="6" customFormat="1" ht="94.5" hidden="1" x14ac:dyDescent="0.2">
      <c r="A26" s="4"/>
      <c r="B26" s="8"/>
      <c r="C26" s="9" t="s">
        <v>183</v>
      </c>
      <c r="D26" s="7" t="s">
        <v>128</v>
      </c>
      <c r="E26" s="9" t="s">
        <v>48</v>
      </c>
      <c r="F26" s="10">
        <f>F27*F28*F29</f>
        <v>0</v>
      </c>
      <c r="G26" s="10"/>
    </row>
    <row r="27" spans="1:7" s="6" customFormat="1" ht="47.25" hidden="1" x14ac:dyDescent="0.2">
      <c r="A27" s="4"/>
      <c r="B27" s="5"/>
      <c r="C27" s="4" t="s">
        <v>177</v>
      </c>
      <c r="D27" s="5" t="s">
        <v>122</v>
      </c>
      <c r="F27" s="10">
        <v>2000</v>
      </c>
      <c r="G27" s="10"/>
    </row>
    <row r="28" spans="1:7" s="6" customFormat="1" ht="94.5" hidden="1" x14ac:dyDescent="0.2">
      <c r="A28" s="4"/>
      <c r="B28" s="5"/>
      <c r="C28" s="4" t="s">
        <v>184</v>
      </c>
      <c r="D28" s="5" t="s">
        <v>129</v>
      </c>
      <c r="F28" s="10"/>
      <c r="G28" s="10"/>
    </row>
    <row r="29" spans="1:7" s="6" customFormat="1" ht="78.75" hidden="1" x14ac:dyDescent="0.2">
      <c r="A29" s="4"/>
      <c r="B29" s="5"/>
      <c r="C29" s="4" t="s">
        <v>185</v>
      </c>
      <c r="D29" s="5" t="s">
        <v>130</v>
      </c>
      <c r="F29" s="10"/>
      <c r="G29" s="10"/>
    </row>
    <row r="30" spans="1:7" s="6" customFormat="1" ht="126" hidden="1" x14ac:dyDescent="0.2">
      <c r="A30" s="4"/>
      <c r="B30" s="8"/>
      <c r="C30" s="9" t="s">
        <v>186</v>
      </c>
      <c r="D30" s="7" t="s">
        <v>131</v>
      </c>
      <c r="E30" s="9" t="s">
        <v>49</v>
      </c>
      <c r="F30" s="10">
        <f>F31*F32*F33</f>
        <v>0</v>
      </c>
      <c r="G30" s="10"/>
    </row>
    <row r="31" spans="1:7" s="6" customFormat="1" ht="47.25" hidden="1" x14ac:dyDescent="0.2">
      <c r="A31" s="4"/>
      <c r="B31" s="5"/>
      <c r="C31" s="4" t="s">
        <v>177</v>
      </c>
      <c r="D31" s="5" t="s">
        <v>122</v>
      </c>
      <c r="F31" s="10">
        <v>2000</v>
      </c>
      <c r="G31" s="10"/>
    </row>
    <row r="32" spans="1:7" s="6" customFormat="1" ht="94.5" hidden="1" x14ac:dyDescent="0.2">
      <c r="A32" s="4"/>
      <c r="B32" s="5"/>
      <c r="C32" s="4" t="s">
        <v>187</v>
      </c>
      <c r="D32" s="5" t="s">
        <v>132</v>
      </c>
      <c r="F32" s="10"/>
      <c r="G32" s="10"/>
    </row>
    <row r="33" spans="1:11" s="6" customFormat="1" ht="63" hidden="1" x14ac:dyDescent="0.2">
      <c r="A33" s="4"/>
      <c r="B33" s="5"/>
      <c r="C33" s="4" t="s">
        <v>188</v>
      </c>
      <c r="D33" s="5" t="s">
        <v>133</v>
      </c>
      <c r="F33" s="10"/>
      <c r="G33" s="10"/>
    </row>
    <row r="34" spans="1:11" s="6" customFormat="1" ht="252" hidden="1" x14ac:dyDescent="0.2">
      <c r="A34" s="4"/>
      <c r="B34" s="5" t="s">
        <v>50</v>
      </c>
      <c r="C34" s="9" t="s">
        <v>189</v>
      </c>
      <c r="D34" s="7" t="s">
        <v>101</v>
      </c>
      <c r="E34" s="9" t="s">
        <v>51</v>
      </c>
      <c r="F34" s="10">
        <f>F35*F36*F37/F38</f>
        <v>0</v>
      </c>
      <c r="G34" s="10"/>
    </row>
    <row r="35" spans="1:11" s="6" customFormat="1" ht="141.75" hidden="1" x14ac:dyDescent="0.2">
      <c r="A35" s="4"/>
      <c r="B35" s="5"/>
      <c r="C35" s="4" t="s">
        <v>190</v>
      </c>
      <c r="D35" s="5" t="s">
        <v>134</v>
      </c>
      <c r="F35" s="10"/>
      <c r="G35" s="10"/>
    </row>
    <row r="36" spans="1:11" s="6" customFormat="1" ht="15.75" hidden="1" x14ac:dyDescent="0.2">
      <c r="A36" s="4"/>
      <c r="B36" s="5"/>
      <c r="C36" s="4" t="s">
        <v>191</v>
      </c>
      <c r="D36" s="5" t="s">
        <v>135</v>
      </c>
      <c r="F36" s="10"/>
      <c r="G36" s="10"/>
    </row>
    <row r="37" spans="1:11" s="6" customFormat="1" ht="78.75" hidden="1" x14ac:dyDescent="0.2">
      <c r="A37" s="4"/>
      <c r="B37" s="5"/>
      <c r="C37" s="4" t="s">
        <v>192</v>
      </c>
      <c r="D37" s="5" t="s">
        <v>136</v>
      </c>
      <c r="F37" s="10"/>
      <c r="G37" s="10"/>
    </row>
    <row r="38" spans="1:11" s="6" customFormat="1" ht="47.25" hidden="1" x14ac:dyDescent="0.2">
      <c r="A38" s="4"/>
      <c r="B38" s="5"/>
      <c r="C38" s="4" t="s">
        <v>193</v>
      </c>
      <c r="D38" s="5" t="s">
        <v>137</v>
      </c>
      <c r="F38" s="10">
        <v>1000</v>
      </c>
      <c r="G38" s="10"/>
    </row>
    <row r="39" spans="1:11" s="6" customFormat="1" ht="252" hidden="1" x14ac:dyDescent="0.2">
      <c r="A39" s="4"/>
      <c r="B39" s="5" t="s">
        <v>52</v>
      </c>
      <c r="C39" s="4"/>
      <c r="D39" s="5"/>
      <c r="F39" s="10"/>
      <c r="G39" s="10"/>
    </row>
    <row r="40" spans="1:11" s="6" customFormat="1" ht="126" hidden="1" x14ac:dyDescent="0.2">
      <c r="A40" s="4"/>
      <c r="B40" s="5" t="s">
        <v>53</v>
      </c>
      <c r="C40" s="4"/>
      <c r="D40" s="5"/>
      <c r="F40" s="10"/>
      <c r="G40" s="10"/>
    </row>
    <row r="41" spans="1:11" ht="51" x14ac:dyDescent="0.2">
      <c r="A41" s="20">
        <v>10</v>
      </c>
      <c r="B41" s="30" t="s">
        <v>54</v>
      </c>
      <c r="C41" s="20" t="s">
        <v>194</v>
      </c>
      <c r="D41" s="21" t="s">
        <v>102</v>
      </c>
      <c r="E41" s="31" t="s">
        <v>169</v>
      </c>
      <c r="F41" s="15">
        <f>(F42+F43+F44+F45+F46)</f>
        <v>0</v>
      </c>
      <c r="G41" s="16">
        <f>(F42+F43+F44+F45+F46)/F47</f>
        <v>0</v>
      </c>
      <c r="H41" s="17">
        <f>ЖЕК!C8</f>
        <v>0</v>
      </c>
      <c r="I41" s="17">
        <f>ЖЕК!D8</f>
        <v>0</v>
      </c>
      <c r="J41" s="17">
        <f>ЖЕК!F8</f>
        <v>7.1999999999999998E-3</v>
      </c>
      <c r="K41" s="16">
        <f>G41-J41</f>
        <v>-7.1999999999999998E-3</v>
      </c>
    </row>
    <row r="42" spans="1:11" s="6" customFormat="1" ht="15.75" hidden="1" x14ac:dyDescent="0.2">
      <c r="A42" s="4"/>
      <c r="B42" s="5"/>
      <c r="C42" s="4" t="s">
        <v>89</v>
      </c>
      <c r="D42" s="5" t="s">
        <v>113</v>
      </c>
      <c r="F42" s="10"/>
      <c r="G42" s="10"/>
    </row>
    <row r="43" spans="1:11" s="6" customFormat="1" ht="47.25" hidden="1" x14ac:dyDescent="0.2">
      <c r="A43" s="4"/>
      <c r="B43" s="5"/>
      <c r="C43" s="4" t="s">
        <v>90</v>
      </c>
      <c r="D43" s="5" t="s">
        <v>114</v>
      </c>
      <c r="F43" s="10"/>
      <c r="G43" s="10"/>
    </row>
    <row r="44" spans="1:11" s="6" customFormat="1" ht="15.75" hidden="1" x14ac:dyDescent="0.2">
      <c r="A44" s="4"/>
      <c r="B44" s="5"/>
      <c r="C44" s="4" t="s">
        <v>91</v>
      </c>
      <c r="D44" s="5" t="s">
        <v>115</v>
      </c>
      <c r="F44" s="10"/>
      <c r="G44" s="10"/>
    </row>
    <row r="45" spans="1:11" s="6" customFormat="1" ht="15.75" hidden="1" x14ac:dyDescent="0.2">
      <c r="A45" s="4"/>
      <c r="B45" s="5"/>
      <c r="C45" s="4" t="s">
        <v>92</v>
      </c>
      <c r="D45" s="5" t="s">
        <v>116</v>
      </c>
      <c r="F45" s="10"/>
      <c r="G45" s="10"/>
    </row>
    <row r="46" spans="1:11" s="6" customFormat="1" ht="15.75" hidden="1" x14ac:dyDescent="0.2">
      <c r="A46" s="4"/>
      <c r="B46" s="5"/>
      <c r="C46" s="4" t="s">
        <v>93</v>
      </c>
      <c r="D46" s="5" t="s">
        <v>117</v>
      </c>
      <c r="F46" s="10"/>
      <c r="G46" s="10"/>
    </row>
    <row r="47" spans="1:11" s="6" customFormat="1" ht="94.5" hidden="1" x14ac:dyDescent="0.2">
      <c r="A47" s="4"/>
      <c r="B47" s="5"/>
      <c r="C47" s="4" t="s">
        <v>94</v>
      </c>
      <c r="D47" s="5" t="s">
        <v>118</v>
      </c>
      <c r="F47" s="10">
        <v>44597</v>
      </c>
      <c r="G47" s="10"/>
    </row>
    <row r="48" spans="1:11" ht="25.5" x14ac:dyDescent="0.2">
      <c r="A48" s="20">
        <v>11</v>
      </c>
      <c r="B48" s="30" t="s">
        <v>55</v>
      </c>
      <c r="C48" s="31" t="s">
        <v>195</v>
      </c>
      <c r="D48" s="32" t="s">
        <v>103</v>
      </c>
      <c r="E48" s="31" t="s">
        <v>56</v>
      </c>
      <c r="F48" s="15">
        <f>F49*F50</f>
        <v>17600</v>
      </c>
      <c r="G48" s="16">
        <f>F49*F50/F51</f>
        <v>0.39464537973406283</v>
      </c>
      <c r="H48" s="17">
        <f>ЖЕК!C9</f>
        <v>0.37959999999999999</v>
      </c>
      <c r="I48" s="17">
        <f>ЖЕК!D9</f>
        <v>0.38129999999999997</v>
      </c>
      <c r="J48" s="17">
        <f>ЖЕК!F9</f>
        <v>0.504</v>
      </c>
      <c r="K48" s="16">
        <f>G48-J48</f>
        <v>-0.10935462026593717</v>
      </c>
    </row>
    <row r="49" spans="1:11" s="6" customFormat="1" ht="110.25" hidden="1" x14ac:dyDescent="0.2">
      <c r="A49" s="4"/>
      <c r="B49" s="5"/>
      <c r="C49" s="4" t="s">
        <v>172</v>
      </c>
      <c r="D49" s="5" t="s">
        <v>138</v>
      </c>
      <c r="F49" s="10">
        <v>1100</v>
      </c>
      <c r="G49" s="10"/>
    </row>
    <row r="50" spans="1:11" s="6" customFormat="1" ht="31.5" hidden="1" x14ac:dyDescent="0.2">
      <c r="A50" s="4"/>
      <c r="B50" s="5"/>
      <c r="C50" s="4" t="s">
        <v>173</v>
      </c>
      <c r="D50" s="5" t="s">
        <v>139</v>
      </c>
      <c r="F50" s="10">
        <v>16</v>
      </c>
      <c r="G50" s="10"/>
    </row>
    <row r="51" spans="1:11" s="6" customFormat="1" ht="141.75" hidden="1" x14ac:dyDescent="0.2">
      <c r="A51" s="4"/>
      <c r="B51" s="5"/>
      <c r="C51" s="4" t="s">
        <v>174</v>
      </c>
      <c r="D51" s="5" t="s">
        <v>140</v>
      </c>
      <c r="F51" s="10">
        <v>44597</v>
      </c>
      <c r="G51" s="10"/>
    </row>
    <row r="52" spans="1:11" ht="76.5" x14ac:dyDescent="0.2">
      <c r="A52" s="20">
        <v>12</v>
      </c>
      <c r="B52" s="30" t="s">
        <v>57</v>
      </c>
      <c r="C52" s="31" t="s">
        <v>175</v>
      </c>
      <c r="D52" s="32" t="s">
        <v>105</v>
      </c>
      <c r="E52" s="31" t="s">
        <v>58</v>
      </c>
      <c r="F52" s="15">
        <f>(F53+F54+F55+F56+F57)</f>
        <v>10200</v>
      </c>
      <c r="G52" s="16">
        <f>(F53+F54+F55+F56+F57)/F58</f>
        <v>0.22871493598224096</v>
      </c>
      <c r="H52" s="17">
        <f>ЖЕК!C10</f>
        <v>1.83E-2</v>
      </c>
      <c r="I52" s="17">
        <f>ЖЕК!D10</f>
        <v>1.84E-2</v>
      </c>
      <c r="J52" s="17">
        <f>ЖЕК!F10</f>
        <v>0.252</v>
      </c>
      <c r="K52" s="16">
        <f>G52-J52</f>
        <v>-2.3285064017759038E-2</v>
      </c>
    </row>
    <row r="53" spans="1:11" s="6" customFormat="1" ht="15.75" hidden="1" x14ac:dyDescent="0.2">
      <c r="A53" s="4"/>
      <c r="B53" s="5"/>
      <c r="C53" s="4" t="s">
        <v>89</v>
      </c>
      <c r="D53" s="5" t="s">
        <v>113</v>
      </c>
      <c r="F53" s="10"/>
      <c r="G53" s="10"/>
    </row>
    <row r="54" spans="1:11" s="6" customFormat="1" ht="47.25" hidden="1" x14ac:dyDescent="0.2">
      <c r="A54" s="4"/>
      <c r="B54" s="5"/>
      <c r="C54" s="4" t="s">
        <v>90</v>
      </c>
      <c r="D54" s="5" t="s">
        <v>114</v>
      </c>
      <c r="F54" s="10"/>
      <c r="G54" s="10"/>
    </row>
    <row r="55" spans="1:11" s="6" customFormat="1" ht="15.75" hidden="1" x14ac:dyDescent="0.2">
      <c r="A55" s="4"/>
      <c r="B55" s="5"/>
      <c r="C55" s="4" t="s">
        <v>171</v>
      </c>
      <c r="D55" s="5" t="s">
        <v>115</v>
      </c>
      <c r="E55" s="12" t="s">
        <v>234</v>
      </c>
      <c r="F55" s="10">
        <v>10000</v>
      </c>
      <c r="G55" s="10"/>
    </row>
    <row r="56" spans="1:11" s="6" customFormat="1" ht="15.75" hidden="1" x14ac:dyDescent="0.2">
      <c r="A56" s="4"/>
      <c r="B56" s="5"/>
      <c r="C56" s="4" t="s">
        <v>92</v>
      </c>
      <c r="D56" s="5" t="s">
        <v>116</v>
      </c>
      <c r="F56" s="10">
        <v>200</v>
      </c>
      <c r="G56" s="10"/>
    </row>
    <row r="57" spans="1:11" s="6" customFormat="1" ht="15.75" hidden="1" x14ac:dyDescent="0.2">
      <c r="A57" s="4"/>
      <c r="B57" s="5"/>
      <c r="C57" s="4" t="s">
        <v>93</v>
      </c>
      <c r="D57" s="5" t="s">
        <v>117</v>
      </c>
      <c r="F57" s="10"/>
      <c r="G57" s="10"/>
    </row>
    <row r="58" spans="1:11" s="6" customFormat="1" ht="94.5" hidden="1" x14ac:dyDescent="0.2">
      <c r="A58" s="4"/>
      <c r="B58" s="5"/>
      <c r="C58" s="4" t="s">
        <v>170</v>
      </c>
      <c r="D58" s="5" t="s">
        <v>118</v>
      </c>
      <c r="F58" s="10">
        <v>44597</v>
      </c>
      <c r="G58" s="10"/>
    </row>
    <row r="59" spans="1:11" ht="102" x14ac:dyDescent="0.2">
      <c r="A59" s="20">
        <v>13</v>
      </c>
      <c r="B59" s="30" t="s">
        <v>59</v>
      </c>
      <c r="D59" s="30" t="s">
        <v>258</v>
      </c>
      <c r="H59" s="19">
        <f>ЖЕК!C11</f>
        <v>0.73260000000000003</v>
      </c>
      <c r="I59" s="19">
        <f>ЖЕК!D11</f>
        <v>6.5000000000000002E-2</v>
      </c>
      <c r="J59" s="19">
        <f>ЖЕК!F11</f>
        <v>1.44</v>
      </c>
      <c r="K59" s="16"/>
    </row>
    <row r="60" spans="1:11" s="6" customFormat="1" ht="110.25" hidden="1" x14ac:dyDescent="0.2">
      <c r="A60" s="4"/>
      <c r="B60" s="5" t="s">
        <v>60</v>
      </c>
      <c r="C60" s="4"/>
      <c r="D60" s="5"/>
      <c r="F60" s="10"/>
      <c r="G60" s="10"/>
    </row>
    <row r="61" spans="1:11" s="6" customFormat="1" ht="220.5" hidden="1" x14ac:dyDescent="0.2">
      <c r="A61" s="4"/>
      <c r="B61" s="5" t="s">
        <v>61</v>
      </c>
      <c r="C61" s="4"/>
      <c r="D61" s="5"/>
      <c r="F61" s="10"/>
      <c r="G61" s="10"/>
    </row>
    <row r="62" spans="1:11" s="6" customFormat="1" ht="189" hidden="1" x14ac:dyDescent="0.2">
      <c r="A62" s="4"/>
      <c r="B62" s="5" t="s">
        <v>62</v>
      </c>
      <c r="C62" s="4"/>
      <c r="D62" s="5"/>
      <c r="F62" s="10"/>
      <c r="G62" s="10"/>
    </row>
    <row r="63" spans="1:11" s="6" customFormat="1" ht="126" hidden="1" x14ac:dyDescent="0.2">
      <c r="A63" s="4"/>
      <c r="B63" s="5" t="s">
        <v>63</v>
      </c>
      <c r="C63" s="4"/>
      <c r="D63" s="5"/>
      <c r="F63" s="10"/>
      <c r="G63" s="10"/>
    </row>
    <row r="64" spans="1:11" s="6" customFormat="1" ht="94.5" hidden="1" x14ac:dyDescent="0.2">
      <c r="A64" s="4"/>
      <c r="B64" s="5" t="s">
        <v>64</v>
      </c>
      <c r="C64" s="4"/>
      <c r="D64" s="5"/>
      <c r="F64" s="10"/>
      <c r="G64" s="10"/>
    </row>
    <row r="65" spans="1:11" s="6" customFormat="1" ht="189" hidden="1" x14ac:dyDescent="0.2">
      <c r="A65" s="4"/>
      <c r="B65" s="5" t="s">
        <v>65</v>
      </c>
      <c r="C65" s="4"/>
      <c r="D65" s="5"/>
      <c r="F65" s="10"/>
      <c r="G65" s="10"/>
    </row>
    <row r="66" spans="1:11" s="6" customFormat="1" ht="110.25" hidden="1" x14ac:dyDescent="0.2">
      <c r="A66" s="4"/>
      <c r="B66" s="5" t="s">
        <v>66</v>
      </c>
      <c r="C66" s="4"/>
      <c r="D66" s="5"/>
      <c r="F66" s="10"/>
      <c r="G66" s="10"/>
    </row>
    <row r="67" spans="1:11" s="6" customFormat="1" ht="47.25" hidden="1" x14ac:dyDescent="0.2">
      <c r="A67" s="4"/>
      <c r="B67" s="5" t="s">
        <v>67</v>
      </c>
      <c r="C67" s="4"/>
      <c r="D67" s="5"/>
      <c r="F67" s="10"/>
      <c r="G67" s="10"/>
    </row>
    <row r="68" spans="1:11" ht="25.5" x14ac:dyDescent="0.2">
      <c r="A68" s="20">
        <v>14</v>
      </c>
      <c r="B68" s="30" t="s">
        <v>68</v>
      </c>
      <c r="C68" s="31" t="s">
        <v>196</v>
      </c>
      <c r="D68" s="32" t="s">
        <v>104</v>
      </c>
      <c r="E68" s="31" t="s">
        <v>69</v>
      </c>
      <c r="F68" s="15">
        <f>(F69*F70+F71*F72)</f>
        <v>433.33333333333331</v>
      </c>
      <c r="G68" s="16">
        <f>(F69*F70+F71*F72)/F73</f>
        <v>9.7166476070886677E-3</v>
      </c>
      <c r="H68" s="17">
        <f>ЖЕК!C12</f>
        <v>5.1999999999999998E-3</v>
      </c>
      <c r="I68" s="17">
        <f>ЖЕК!D12</f>
        <v>4.8999999999999998E-3</v>
      </c>
      <c r="J68" s="17">
        <f>ЖЕК!F12</f>
        <v>1.2E-2</v>
      </c>
      <c r="K68" s="16">
        <f>G68-J68</f>
        <v>-2.2833523929113326E-3</v>
      </c>
    </row>
    <row r="69" spans="1:11" s="6" customFormat="1" ht="31.5" hidden="1" x14ac:dyDescent="0.2">
      <c r="A69" s="4"/>
      <c r="B69" s="5"/>
      <c r="C69" s="4" t="s">
        <v>197</v>
      </c>
      <c r="D69" s="5" t="s">
        <v>141</v>
      </c>
      <c r="F69" s="10">
        <v>4390</v>
      </c>
      <c r="G69" s="10"/>
    </row>
    <row r="70" spans="1:11" s="6" customFormat="1" ht="47.25" hidden="1" x14ac:dyDescent="0.2">
      <c r="A70" s="4"/>
      <c r="B70" s="5"/>
      <c r="C70" s="4" t="s">
        <v>198</v>
      </c>
      <c r="D70" s="5" t="s">
        <v>142</v>
      </c>
      <c r="F70" s="10">
        <f>1300/3/F69</f>
        <v>9.8709187547456334E-2</v>
      </c>
      <c r="G70" s="10"/>
    </row>
    <row r="71" spans="1:11" s="6" customFormat="1" ht="31.5" hidden="1" x14ac:dyDescent="0.2">
      <c r="A71" s="4"/>
      <c r="B71" s="5"/>
      <c r="C71" s="4" t="s">
        <v>199</v>
      </c>
      <c r="D71" s="5" t="s">
        <v>143</v>
      </c>
      <c r="F71" s="10">
        <v>0</v>
      </c>
      <c r="G71" s="10"/>
    </row>
    <row r="72" spans="1:11" s="6" customFormat="1" ht="47.25" hidden="1" x14ac:dyDescent="0.2">
      <c r="A72" s="4"/>
      <c r="B72" s="5"/>
      <c r="C72" s="4" t="s">
        <v>200</v>
      </c>
      <c r="D72" s="5" t="s">
        <v>144</v>
      </c>
      <c r="F72" s="10"/>
      <c r="G72" s="10"/>
    </row>
    <row r="73" spans="1:11" s="6" customFormat="1" ht="94.5" hidden="1" x14ac:dyDescent="0.2">
      <c r="A73" s="4"/>
      <c r="B73" s="5"/>
      <c r="C73" s="4" t="s">
        <v>94</v>
      </c>
      <c r="D73" s="5" t="s">
        <v>118</v>
      </c>
      <c r="F73" s="10">
        <v>44597</v>
      </c>
      <c r="G73" s="10"/>
    </row>
    <row r="74" spans="1:11" s="6" customFormat="1" ht="78.75" hidden="1" x14ac:dyDescent="0.2">
      <c r="A74" s="4"/>
      <c r="B74" s="5" t="s">
        <v>70</v>
      </c>
      <c r="C74" s="4"/>
      <c r="D74" s="5"/>
      <c r="F74" s="10"/>
      <c r="G74" s="10"/>
    </row>
    <row r="75" spans="1:11" ht="25.5" x14ac:dyDescent="0.2">
      <c r="A75" s="20">
        <v>15</v>
      </c>
      <c r="B75" s="30" t="s">
        <v>71</v>
      </c>
      <c r="C75" s="31" t="s">
        <v>201</v>
      </c>
      <c r="D75" s="32" t="s">
        <v>106</v>
      </c>
      <c r="E75" s="31" t="s">
        <v>72</v>
      </c>
      <c r="F75" s="15">
        <f>F77*F76</f>
        <v>700</v>
      </c>
      <c r="G75" s="16">
        <f>F77*F76/F78</f>
        <v>1.5696123057604771E-2</v>
      </c>
      <c r="H75" s="17">
        <f>ЖЕК!C13</f>
        <v>1.0200000000000001E-2</v>
      </c>
      <c r="I75" s="17">
        <f>ЖЕК!D13</f>
        <v>9.7000000000000003E-3</v>
      </c>
      <c r="J75" s="17">
        <f>ЖЕК!F13</f>
        <v>1.2E-2</v>
      </c>
      <c r="K75" s="16">
        <f>G75-J75</f>
        <v>3.6961230576047707E-3</v>
      </c>
    </row>
    <row r="76" spans="1:11" s="6" customFormat="1" ht="31.5" hidden="1" x14ac:dyDescent="0.2">
      <c r="A76" s="4"/>
      <c r="B76" s="5"/>
      <c r="C76" s="4" t="s">
        <v>197</v>
      </c>
      <c r="D76" s="5" t="s">
        <v>141</v>
      </c>
      <c r="F76" s="10">
        <v>4390</v>
      </c>
      <c r="G76" s="10"/>
    </row>
    <row r="77" spans="1:11" s="6" customFormat="1" ht="63" hidden="1" x14ac:dyDescent="0.2">
      <c r="A77" s="4"/>
      <c r="B77" s="5"/>
      <c r="C77" s="4" t="s">
        <v>202</v>
      </c>
      <c r="D77" s="5" t="s">
        <v>145</v>
      </c>
      <c r="F77" s="10">
        <f>700/F76</f>
        <v>0.15945330296127563</v>
      </c>
      <c r="G77" s="10"/>
    </row>
    <row r="78" spans="1:11" s="6" customFormat="1" ht="94.5" hidden="1" x14ac:dyDescent="0.2">
      <c r="A78" s="4"/>
      <c r="B78" s="5"/>
      <c r="C78" s="4" t="s">
        <v>94</v>
      </c>
      <c r="D78" s="5" t="s">
        <v>118</v>
      </c>
      <c r="F78" s="10">
        <v>44597</v>
      </c>
      <c r="G78" s="10"/>
    </row>
    <row r="79" spans="1:11" ht="38.25" x14ac:dyDescent="0.2">
      <c r="A79" s="20">
        <v>16</v>
      </c>
      <c r="B79" s="30" t="s">
        <v>73</v>
      </c>
      <c r="C79" s="31" t="s">
        <v>203</v>
      </c>
      <c r="D79" s="32" t="s">
        <v>112</v>
      </c>
      <c r="E79" s="31" t="s">
        <v>74</v>
      </c>
      <c r="F79" s="15">
        <f>(F80+F81+F82+F83+F84)*F87/F86</f>
        <v>450</v>
      </c>
      <c r="G79" s="16">
        <f>(F80+F81+F82+F83+F84)*F87/F85/F86</f>
        <v>1.0090364822745924E-2</v>
      </c>
      <c r="H79" s="17">
        <f>ЖЕК!C14</f>
        <v>3.8999999999999998E-3</v>
      </c>
      <c r="I79" s="17">
        <f>ЖЕК!D14</f>
        <v>4.0000000000000001E-3</v>
      </c>
      <c r="J79" s="17">
        <f>ЖЕК!F14</f>
        <v>1.2E-2</v>
      </c>
      <c r="K79" s="16">
        <f>G79-J79</f>
        <v>-1.9096351772540758E-3</v>
      </c>
    </row>
    <row r="80" spans="1:11" s="6" customFormat="1" ht="15.75" hidden="1" x14ac:dyDescent="0.2">
      <c r="A80" s="4"/>
      <c r="B80" s="5"/>
      <c r="C80" s="4" t="s">
        <v>89</v>
      </c>
      <c r="D80" s="5" t="s">
        <v>113</v>
      </c>
      <c r="F80" s="10"/>
      <c r="G80" s="10"/>
    </row>
    <row r="81" spans="1:11" s="6" customFormat="1" ht="47.25" hidden="1" x14ac:dyDescent="0.2">
      <c r="A81" s="4"/>
      <c r="B81" s="5"/>
      <c r="C81" s="4" t="s">
        <v>90</v>
      </c>
      <c r="D81" s="5" t="s">
        <v>114</v>
      </c>
      <c r="F81" s="10"/>
      <c r="G81" s="10"/>
    </row>
    <row r="82" spans="1:11" s="6" customFormat="1" ht="15.75" hidden="1" x14ac:dyDescent="0.2">
      <c r="A82" s="4"/>
      <c r="B82" s="5"/>
      <c r="C82" s="4" t="s">
        <v>91</v>
      </c>
      <c r="D82" s="5" t="s">
        <v>115</v>
      </c>
      <c r="F82" s="10">
        <f>(F80+F81)*1.95</f>
        <v>0</v>
      </c>
      <c r="G82" s="10"/>
    </row>
    <row r="83" spans="1:11" s="6" customFormat="1" ht="15.75" hidden="1" x14ac:dyDescent="0.2">
      <c r="A83" s="4"/>
      <c r="B83" s="5"/>
      <c r="C83" s="4" t="s">
        <v>92</v>
      </c>
      <c r="D83" s="5" t="s">
        <v>116</v>
      </c>
      <c r="E83" s="12" t="s">
        <v>235</v>
      </c>
      <c r="F83" s="10">
        <v>450</v>
      </c>
      <c r="G83" s="10"/>
    </row>
    <row r="84" spans="1:11" s="6" customFormat="1" ht="15.75" hidden="1" x14ac:dyDescent="0.2">
      <c r="A84" s="4"/>
      <c r="B84" s="5"/>
      <c r="C84" s="4" t="s">
        <v>93</v>
      </c>
      <c r="D84" s="5" t="s">
        <v>117</v>
      </c>
      <c r="F84" s="10"/>
      <c r="G84" s="10"/>
    </row>
    <row r="85" spans="1:11" s="6" customFormat="1" ht="94.5" hidden="1" x14ac:dyDescent="0.2">
      <c r="A85" s="4"/>
      <c r="B85" s="5"/>
      <c r="C85" s="4" t="s">
        <v>94</v>
      </c>
      <c r="D85" s="5" t="s">
        <v>118</v>
      </c>
      <c r="F85" s="10">
        <v>44597</v>
      </c>
      <c r="G85" s="10"/>
    </row>
    <row r="86" spans="1:11" s="6" customFormat="1" ht="31.5" hidden="1" x14ac:dyDescent="0.2">
      <c r="A86" s="4"/>
      <c r="B86" s="5"/>
      <c r="C86" s="4" t="s">
        <v>204</v>
      </c>
      <c r="D86" s="5" t="s">
        <v>146</v>
      </c>
      <c r="F86" s="10">
        <v>1</v>
      </c>
      <c r="G86" s="10"/>
    </row>
    <row r="87" spans="1:11" s="6" customFormat="1" ht="31.5" hidden="1" x14ac:dyDescent="0.2">
      <c r="A87" s="4"/>
      <c r="B87" s="5"/>
      <c r="C87" s="4" t="s">
        <v>205</v>
      </c>
      <c r="D87" s="5" t="s">
        <v>147</v>
      </c>
      <c r="F87" s="10">
        <v>1</v>
      </c>
      <c r="G87" s="10"/>
    </row>
    <row r="88" spans="1:11" ht="50.45" customHeight="1" x14ac:dyDescent="0.2">
      <c r="A88" s="20">
        <v>17</v>
      </c>
      <c r="B88" s="30" t="s">
        <v>75</v>
      </c>
      <c r="D88" s="30" t="s">
        <v>259</v>
      </c>
      <c r="H88" s="19">
        <f>ЖЕК!C15</f>
        <v>6.0999999999999999E-2</v>
      </c>
      <c r="I88" s="19">
        <f>ЖЕК!D15</f>
        <v>6.13E-2</v>
      </c>
      <c r="J88" s="19">
        <f>ЖЕК!F15</f>
        <v>9.6000000000000002E-2</v>
      </c>
    </row>
    <row r="89" spans="1:11" s="6" customFormat="1" ht="78.75" hidden="1" x14ac:dyDescent="0.2">
      <c r="A89" s="4"/>
      <c r="B89" s="5" t="s">
        <v>76</v>
      </c>
      <c r="C89" s="4"/>
      <c r="D89" s="5"/>
      <c r="F89" s="10"/>
      <c r="G89" s="10"/>
    </row>
    <row r="90" spans="1:11" ht="112.15" customHeight="1" x14ac:dyDescent="0.2">
      <c r="A90" s="20">
        <v>18</v>
      </c>
      <c r="B90" s="30" t="s">
        <v>77</v>
      </c>
      <c r="D90" s="30" t="s">
        <v>261</v>
      </c>
      <c r="H90" s="19">
        <f>ЖЕК!C16</f>
        <v>0.73240000000000005</v>
      </c>
      <c r="I90" s="19">
        <f>ЖЕК!D16</f>
        <v>0.73570000000000002</v>
      </c>
      <c r="J90" s="19">
        <f>ЖЕК!F16+ЖЕК!F17+ЖЕК!F18+ЖЕК!F26+ЖЕК!F19</f>
        <v>0.41880000000000001</v>
      </c>
    </row>
    <row r="91" spans="1:11" ht="38.25" x14ac:dyDescent="0.2">
      <c r="A91" s="20">
        <v>19</v>
      </c>
      <c r="B91" s="30" t="s">
        <v>78</v>
      </c>
      <c r="C91" s="31" t="s">
        <v>206</v>
      </c>
      <c r="D91" s="32" t="s">
        <v>107</v>
      </c>
      <c r="E91" s="31" t="s">
        <v>79</v>
      </c>
      <c r="F91" s="15">
        <f>(F92*F94*F96+F93*F95*F97)*F98</f>
        <v>0</v>
      </c>
      <c r="G91" s="16">
        <f>(F92*F94*F96+F93*F95*F97)*F98/F99</f>
        <v>0</v>
      </c>
      <c r="H91" s="17">
        <f>ЖЕК!C20</f>
        <v>2.8899999999999999E-2</v>
      </c>
      <c r="I91" s="17">
        <f>ЖЕК!D20</f>
        <v>1.9099999999999999E-2</v>
      </c>
      <c r="J91" s="17">
        <f>ЖЕК!F20</f>
        <v>0.06</v>
      </c>
      <c r="K91" s="16">
        <f>G91-J91</f>
        <v>-0.06</v>
      </c>
    </row>
    <row r="92" spans="1:11" s="6" customFormat="1" ht="15.75" hidden="1" x14ac:dyDescent="0.2">
      <c r="A92" s="4"/>
      <c r="B92" s="5"/>
      <c r="C92" s="4" t="s">
        <v>207</v>
      </c>
      <c r="D92" s="5" t="s">
        <v>148</v>
      </c>
      <c r="F92" s="10"/>
      <c r="G92" s="10"/>
    </row>
    <row r="93" spans="1:11" s="6" customFormat="1" ht="15.75" hidden="1" x14ac:dyDescent="0.2">
      <c r="A93" s="4"/>
      <c r="B93" s="5"/>
      <c r="C93" s="4" t="s">
        <v>208</v>
      </c>
      <c r="D93" s="5" t="s">
        <v>149</v>
      </c>
      <c r="F93" s="10"/>
      <c r="G93" s="10"/>
    </row>
    <row r="94" spans="1:11" s="6" customFormat="1" ht="15.75" hidden="1" x14ac:dyDescent="0.2">
      <c r="A94" s="4"/>
      <c r="B94" s="5"/>
      <c r="C94" s="4" t="s">
        <v>209</v>
      </c>
      <c r="D94" s="5" t="s">
        <v>150</v>
      </c>
      <c r="F94" s="10"/>
      <c r="G94" s="10"/>
    </row>
    <row r="95" spans="1:11" s="6" customFormat="1" ht="31.5" hidden="1" x14ac:dyDescent="0.2">
      <c r="A95" s="4"/>
      <c r="B95" s="5"/>
      <c r="C95" s="4" t="s">
        <v>210</v>
      </c>
      <c r="D95" s="5" t="s">
        <v>151</v>
      </c>
      <c r="F95" s="10"/>
      <c r="G95" s="10"/>
    </row>
    <row r="96" spans="1:11" s="6" customFormat="1" ht="31.5" hidden="1" x14ac:dyDescent="0.2">
      <c r="A96" s="4"/>
      <c r="B96" s="5"/>
      <c r="C96" s="4" t="s">
        <v>211</v>
      </c>
      <c r="D96" s="5" t="s">
        <v>152</v>
      </c>
      <c r="F96" s="10"/>
      <c r="G96" s="10"/>
    </row>
    <row r="97" spans="1:11" s="6" customFormat="1" ht="47.25" hidden="1" x14ac:dyDescent="0.2">
      <c r="A97" s="4"/>
      <c r="B97" s="5"/>
      <c r="C97" s="4" t="s">
        <v>212</v>
      </c>
      <c r="D97" s="5" t="s">
        <v>153</v>
      </c>
      <c r="F97" s="10"/>
      <c r="G97" s="10"/>
    </row>
    <row r="98" spans="1:11" s="6" customFormat="1" ht="31.5" hidden="1" x14ac:dyDescent="0.2">
      <c r="A98" s="4"/>
      <c r="B98" s="5"/>
      <c r="C98" s="4" t="s">
        <v>213</v>
      </c>
      <c r="D98" s="5" t="s">
        <v>154</v>
      </c>
      <c r="F98" s="10"/>
      <c r="G98" s="10"/>
    </row>
    <row r="99" spans="1:11" s="6" customFormat="1" ht="94.5" hidden="1" x14ac:dyDescent="0.2">
      <c r="A99" s="4"/>
      <c r="B99" s="5"/>
      <c r="C99" s="4" t="s">
        <v>94</v>
      </c>
      <c r="D99" s="5" t="s">
        <v>118</v>
      </c>
      <c r="F99" s="10">
        <v>44597</v>
      </c>
      <c r="G99" s="10"/>
    </row>
    <row r="100" spans="1:11" ht="84" customHeight="1" x14ac:dyDescent="0.2">
      <c r="A100" s="20">
        <v>20</v>
      </c>
      <c r="B100" s="30" t="s">
        <v>80</v>
      </c>
      <c r="D100" s="30" t="s">
        <v>260</v>
      </c>
      <c r="H100" s="19">
        <f>ЖЕК!C21</f>
        <v>1.83E-2</v>
      </c>
      <c r="I100" s="19">
        <f>ЖЕК!D21</f>
        <v>1.84E-2</v>
      </c>
      <c r="J100" s="19">
        <f>ЖЕК!F25+ЖЕК!F21</f>
        <v>3.9599999999999996E-2</v>
      </c>
    </row>
    <row r="101" spans="1:11" ht="38.25" x14ac:dyDescent="0.2">
      <c r="A101" s="20">
        <v>21</v>
      </c>
      <c r="B101" s="30" t="s">
        <v>81</v>
      </c>
      <c r="C101" s="31" t="s">
        <v>214</v>
      </c>
      <c r="D101" s="32" t="s">
        <v>109</v>
      </c>
      <c r="E101" s="31" t="s">
        <v>82</v>
      </c>
      <c r="F101" s="15">
        <f>F102*F103/F104</f>
        <v>0</v>
      </c>
      <c r="G101" s="16">
        <f>F102*F103/F104/F105</f>
        <v>0</v>
      </c>
      <c r="H101" s="17">
        <f>ЖЕК!C22</f>
        <v>0</v>
      </c>
      <c r="I101" s="17">
        <f>ЖЕК!D22</f>
        <v>0</v>
      </c>
      <c r="J101" s="17">
        <f>ЖЕК!F22</f>
        <v>0</v>
      </c>
      <c r="K101" s="16">
        <f>G101-J101</f>
        <v>0</v>
      </c>
    </row>
    <row r="102" spans="1:11" s="6" customFormat="1" ht="15.75" hidden="1" x14ac:dyDescent="0.2">
      <c r="A102" s="4"/>
      <c r="B102" s="5"/>
      <c r="C102" s="4" t="s">
        <v>215</v>
      </c>
      <c r="D102" s="5" t="s">
        <v>155</v>
      </c>
      <c r="F102" s="10"/>
      <c r="G102" s="10"/>
    </row>
    <row r="103" spans="1:11" s="6" customFormat="1" ht="15.75" hidden="1" x14ac:dyDescent="0.2">
      <c r="A103" s="4"/>
      <c r="B103" s="5"/>
      <c r="C103" s="4" t="s">
        <v>108</v>
      </c>
      <c r="D103" s="5" t="s">
        <v>156</v>
      </c>
      <c r="F103" s="10"/>
      <c r="G103" s="10"/>
    </row>
    <row r="104" spans="1:11" s="6" customFormat="1" ht="31.5" hidden="1" x14ac:dyDescent="0.2">
      <c r="A104" s="4"/>
      <c r="B104" s="5"/>
      <c r="C104" s="4" t="s">
        <v>216</v>
      </c>
      <c r="D104" s="5" t="s">
        <v>157</v>
      </c>
      <c r="F104" s="10">
        <v>60</v>
      </c>
      <c r="G104" s="10"/>
    </row>
    <row r="105" spans="1:11" s="6" customFormat="1" ht="94.5" hidden="1" x14ac:dyDescent="0.2">
      <c r="A105" s="4"/>
      <c r="B105" s="5"/>
      <c r="C105" s="4" t="s">
        <v>94</v>
      </c>
      <c r="D105" s="5" t="s">
        <v>118</v>
      </c>
      <c r="F105" s="10">
        <v>44597</v>
      </c>
      <c r="G105" s="10"/>
    </row>
    <row r="106" spans="1:11" ht="51" x14ac:dyDescent="0.2">
      <c r="A106" s="20">
        <v>22</v>
      </c>
      <c r="B106" s="30" t="s">
        <v>83</v>
      </c>
      <c r="C106" s="31" t="s">
        <v>217</v>
      </c>
      <c r="D106" s="32" t="s">
        <v>110</v>
      </c>
      <c r="E106" s="31" t="s">
        <v>84</v>
      </c>
      <c r="F106" s="15">
        <f>(F107+F108+F109+F110+F111+F112*F113)</f>
        <v>35471.5</v>
      </c>
      <c r="G106" s="16">
        <f>(F107+F108+F109+F110+F111+F112*F113)/F114</f>
        <v>0.79537861291118239</v>
      </c>
      <c r="H106" s="17">
        <f>ЖЕК!C23</f>
        <v>0.19409999999999999</v>
      </c>
      <c r="I106" s="17">
        <f>ЖЕК!D23</f>
        <v>0.19439999999999999</v>
      </c>
      <c r="J106" s="17">
        <f>ЖЕК!F23</f>
        <v>0.36</v>
      </c>
      <c r="K106" s="16">
        <f>G106-J106</f>
        <v>0.43537861291118241</v>
      </c>
    </row>
    <row r="107" spans="1:11" s="6" customFormat="1" ht="15.75" hidden="1" x14ac:dyDescent="0.2">
      <c r="A107" s="4"/>
      <c r="B107" s="5"/>
      <c r="C107" s="4" t="s">
        <v>218</v>
      </c>
      <c r="D107" s="5" t="s">
        <v>158</v>
      </c>
      <c r="F107" s="10">
        <v>7000</v>
      </c>
      <c r="G107" s="10"/>
    </row>
    <row r="108" spans="1:11" s="6" customFormat="1" ht="47.25" hidden="1" x14ac:dyDescent="0.2">
      <c r="A108" s="4"/>
      <c r="B108" s="5"/>
      <c r="C108" s="4" t="s">
        <v>90</v>
      </c>
      <c r="D108" s="5" t="s">
        <v>114</v>
      </c>
      <c r="F108" s="10">
        <f>F107*0.63</f>
        <v>4410</v>
      </c>
      <c r="G108" s="10"/>
    </row>
    <row r="109" spans="1:11" s="6" customFormat="1" ht="15.75" hidden="1" x14ac:dyDescent="0.2">
      <c r="A109" s="4"/>
      <c r="B109" s="5"/>
      <c r="C109" s="4" t="s">
        <v>91</v>
      </c>
      <c r="D109" s="5" t="s">
        <v>115</v>
      </c>
      <c r="F109" s="10">
        <f>(F107+F108)*1.95</f>
        <v>22249.5</v>
      </c>
      <c r="G109" s="10"/>
    </row>
    <row r="110" spans="1:11" s="6" customFormat="1" ht="15.75" hidden="1" x14ac:dyDescent="0.2">
      <c r="A110" s="4"/>
      <c r="B110" s="5"/>
      <c r="C110" s="4" t="s">
        <v>92</v>
      </c>
      <c r="D110" s="5" t="s">
        <v>116</v>
      </c>
      <c r="F110" s="10">
        <v>300</v>
      </c>
      <c r="G110" s="10"/>
    </row>
    <row r="111" spans="1:11" s="6" customFormat="1" ht="15.75" hidden="1" x14ac:dyDescent="0.2">
      <c r="A111" s="4"/>
      <c r="B111" s="5"/>
      <c r="C111" s="4" t="s">
        <v>93</v>
      </c>
      <c r="D111" s="5" t="s">
        <v>117</v>
      </c>
      <c r="F111" s="10"/>
      <c r="G111" s="10"/>
    </row>
    <row r="112" spans="1:11" s="6" customFormat="1" ht="15.75" hidden="1" x14ac:dyDescent="0.2">
      <c r="A112" s="4"/>
      <c r="B112" s="5"/>
      <c r="C112" s="4" t="s">
        <v>219</v>
      </c>
      <c r="D112" s="5" t="s">
        <v>159</v>
      </c>
      <c r="F112" s="10">
        <v>0.21</v>
      </c>
      <c r="G112" s="10"/>
    </row>
    <row r="113" spans="1:11" s="6" customFormat="1" ht="78.75" hidden="1" x14ac:dyDescent="0.2">
      <c r="A113" s="4"/>
      <c r="B113" s="5"/>
      <c r="C113" s="4" t="s">
        <v>216</v>
      </c>
      <c r="D113" s="5" t="s">
        <v>160</v>
      </c>
      <c r="F113" s="10">
        <f>100*0.02*24*30*5</f>
        <v>7200</v>
      </c>
      <c r="G113" s="10"/>
    </row>
    <row r="114" spans="1:11" s="6" customFormat="1" ht="94.5" hidden="1" x14ac:dyDescent="0.2">
      <c r="A114" s="4"/>
      <c r="B114" s="5"/>
      <c r="C114" s="4" t="s">
        <v>94</v>
      </c>
      <c r="D114" s="5" t="s">
        <v>118</v>
      </c>
      <c r="F114" s="10">
        <v>44597</v>
      </c>
      <c r="G114" s="10"/>
    </row>
    <row r="115" spans="1:11" ht="25.5" x14ac:dyDescent="0.2">
      <c r="A115" s="20">
        <v>23</v>
      </c>
      <c r="B115" s="30" t="s">
        <v>85</v>
      </c>
      <c r="C115" s="31" t="s">
        <v>220</v>
      </c>
      <c r="D115" s="32" t="s">
        <v>111</v>
      </c>
      <c r="E115" s="31" t="s">
        <v>86</v>
      </c>
      <c r="F115" s="15">
        <f>F116*F117*F118</f>
        <v>5806.08</v>
      </c>
      <c r="G115" s="16">
        <f>F116*F117*F118/F119</f>
        <v>0.13018992308899702</v>
      </c>
      <c r="H115" s="17">
        <f>ЖЕК!C24</f>
        <v>0.17069999999999999</v>
      </c>
      <c r="I115" s="17">
        <f>ЖЕК!D24</f>
        <v>0.17150000000000001</v>
      </c>
      <c r="J115" s="17">
        <f>ЖЕК!F24</f>
        <v>0.156</v>
      </c>
      <c r="K115" s="16">
        <f>G115-J115</f>
        <v>-2.5810076911002983E-2</v>
      </c>
    </row>
    <row r="116" spans="1:11" s="6" customFormat="1" ht="31.5" hidden="1" x14ac:dyDescent="0.2">
      <c r="A116" s="4"/>
      <c r="B116" s="5"/>
      <c r="C116" s="4" t="s">
        <v>216</v>
      </c>
      <c r="D116" s="5" t="s">
        <v>161</v>
      </c>
      <c r="F116" s="10">
        <f>16*30*24*15%</f>
        <v>1728</v>
      </c>
      <c r="G116" s="10"/>
    </row>
    <row r="117" spans="1:11" s="6" customFormat="1" ht="15.75" hidden="1" x14ac:dyDescent="0.2">
      <c r="A117" s="4"/>
      <c r="B117" s="5"/>
      <c r="C117" s="4" t="s">
        <v>219</v>
      </c>
      <c r="D117" s="5" t="s">
        <v>162</v>
      </c>
      <c r="F117" s="10">
        <v>0.21</v>
      </c>
      <c r="G117" s="10"/>
    </row>
    <row r="118" spans="1:11" s="6" customFormat="1" ht="31.5" hidden="1" x14ac:dyDescent="0.2">
      <c r="A118" s="4"/>
      <c r="B118" s="5"/>
      <c r="C118" s="4" t="s">
        <v>173</v>
      </c>
      <c r="D118" s="5" t="s">
        <v>139</v>
      </c>
      <c r="F118" s="10">
        <v>16</v>
      </c>
      <c r="G118" s="10"/>
    </row>
    <row r="119" spans="1:11" s="6" customFormat="1" ht="94.5" hidden="1" x14ac:dyDescent="0.2">
      <c r="A119" s="4"/>
      <c r="B119" s="5"/>
      <c r="C119" s="4" t="s">
        <v>94</v>
      </c>
      <c r="D119" s="5" t="s">
        <v>118</v>
      </c>
      <c r="F119" s="10">
        <v>44597</v>
      </c>
      <c r="G119" s="10"/>
    </row>
    <row r="121" spans="1:11" x14ac:dyDescent="0.2">
      <c r="E121" s="22" t="s">
        <v>236</v>
      </c>
      <c r="F121" s="23">
        <f t="shared" ref="F121:K121" si="0">SUBTOTAL(9,F2:F120)</f>
        <v>173780.91333333333</v>
      </c>
      <c r="G121" s="24">
        <f t="shared" si="0"/>
        <v>3.8966951439184996</v>
      </c>
      <c r="H121" s="24">
        <f t="shared" si="0"/>
        <v>5.0157999999999996</v>
      </c>
      <c r="I121" s="24">
        <f t="shared" si="0"/>
        <v>4.0456000000000003</v>
      </c>
      <c r="J121" s="24">
        <f t="shared" si="0"/>
        <v>5.397599999999998</v>
      </c>
      <c r="K121" s="24">
        <f t="shared" si="0"/>
        <v>0.49349514391849969</v>
      </c>
    </row>
    <row r="123" spans="1:11" x14ac:dyDescent="0.2">
      <c r="H123" s="17">
        <f>H59+H88+H90+H100</f>
        <v>1.5443000000000002</v>
      </c>
      <c r="I123" s="17">
        <f>I59+I88+I90+I100</f>
        <v>0.88039999999999996</v>
      </c>
      <c r="J123" s="17">
        <f>J59+J88+J90+J100</f>
        <v>1.9944000000000002</v>
      </c>
    </row>
    <row r="124" spans="1:11" x14ac:dyDescent="0.2">
      <c r="F124" s="15">
        <f>F121/G121</f>
        <v>44597</v>
      </c>
    </row>
  </sheetData>
  <autoFilter ref="A1:F119">
    <filterColumn colId="0">
      <customFilters and="1">
        <customFilter operator="notEqual" val=" "/>
      </customFilters>
    </filterColumn>
  </autoFilter>
  <phoneticPr fontId="3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zoomScaleNormal="100" workbookViewId="0">
      <selection activeCell="D3" sqref="D3"/>
    </sheetView>
  </sheetViews>
  <sheetFormatPr defaultRowHeight="12.75" outlineLevelRow="1" outlineLevelCol="1" x14ac:dyDescent="0.2"/>
  <cols>
    <col min="1" max="1" width="37" style="207" bestFit="1" customWidth="1"/>
    <col min="2" max="2" width="9.42578125" style="208" bestFit="1" customWidth="1"/>
    <col min="3" max="3" width="9.140625" style="210" bestFit="1"/>
    <col min="4" max="4" width="10.28515625" style="210" customWidth="1"/>
    <col min="5" max="5" width="8.7109375" style="234" hidden="1" customWidth="1" outlineLevel="1"/>
    <col min="6" max="6" width="8.140625" style="262" hidden="1" customWidth="1" outlineLevel="1"/>
    <col min="7" max="7" width="8.140625" style="207" hidden="1" customWidth="1" outlineLevel="1"/>
    <col min="8" max="8" width="9.85546875" style="209" hidden="1" customWidth="1" outlineLevel="1"/>
    <col min="9" max="9" width="13.85546875" style="207" hidden="1" customWidth="1" outlineLevel="1"/>
    <col min="10" max="10" width="10.85546875" style="230" hidden="1" customWidth="1" outlineLevel="1"/>
    <col min="11" max="11" width="16.5703125" style="207" bestFit="1" customWidth="1" collapsed="1"/>
    <col min="12" max="12" width="13.7109375" style="207" bestFit="1" customWidth="1"/>
    <col min="13" max="13" width="11.42578125" style="207" customWidth="1"/>
    <col min="14" max="16384" width="9.140625" style="207"/>
  </cols>
  <sheetData>
    <row r="1" spans="1:13" s="203" customFormat="1" x14ac:dyDescent="0.2">
      <c r="A1" s="203" t="s">
        <v>306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</row>
    <row r="2" spans="1:13" x14ac:dyDescent="0.2">
      <c r="A2" s="203" t="s">
        <v>305</v>
      </c>
      <c r="E2" s="235" t="s">
        <v>304</v>
      </c>
      <c r="F2" s="326"/>
      <c r="G2" s="236"/>
      <c r="H2" s="237"/>
      <c r="I2" s="236"/>
      <c r="J2" s="238"/>
      <c r="K2" s="545" t="s">
        <v>417</v>
      </c>
      <c r="L2" s="546"/>
      <c r="M2" s="547"/>
    </row>
    <row r="3" spans="1:13" s="203" customFormat="1" hidden="1" outlineLevel="1" x14ac:dyDescent="0.2">
      <c r="B3" s="204"/>
      <c r="C3" s="206"/>
      <c r="D3" s="246">
        <f>1/12</f>
        <v>8.3333333333333329E-2</v>
      </c>
      <c r="E3" s="231">
        <v>3.5999999999999997E-2</v>
      </c>
      <c r="F3" s="327">
        <v>1.4999999999999999E-2</v>
      </c>
      <c r="G3" s="246">
        <v>0.15</v>
      </c>
      <c r="H3" s="205"/>
      <c r="I3" s="222">
        <v>0.36770000000000003</v>
      </c>
      <c r="J3" s="227"/>
      <c r="K3" s="548"/>
      <c r="L3" s="549"/>
      <c r="M3" s="503"/>
    </row>
    <row r="4" spans="1:13" s="203" customFormat="1" collapsed="1" x14ac:dyDescent="0.2">
      <c r="A4" s="554" t="s">
        <v>224</v>
      </c>
      <c r="B4" s="500" t="s">
        <v>166</v>
      </c>
      <c r="C4" s="502" t="s">
        <v>298</v>
      </c>
      <c r="D4" s="555" t="s">
        <v>364</v>
      </c>
      <c r="E4" s="232" t="s">
        <v>299</v>
      </c>
      <c r="F4" s="223" t="s">
        <v>363</v>
      </c>
      <c r="G4" s="223" t="s">
        <v>300</v>
      </c>
      <c r="H4" s="216" t="s">
        <v>301</v>
      </c>
      <c r="I4" s="223" t="s">
        <v>302</v>
      </c>
      <c r="J4" s="228" t="s">
        <v>303</v>
      </c>
      <c r="K4" s="550" t="s">
        <v>392</v>
      </c>
      <c r="L4" s="500" t="s">
        <v>302</v>
      </c>
      <c r="M4" s="504" t="s">
        <v>381</v>
      </c>
    </row>
    <row r="5" spans="1:13" x14ac:dyDescent="0.2">
      <c r="A5" s="508" t="s">
        <v>248</v>
      </c>
      <c r="B5" s="556">
        <v>1</v>
      </c>
      <c r="C5" s="552">
        <v>12450</v>
      </c>
      <c r="D5" s="505">
        <f>$C5*D$3</f>
        <v>1037.5</v>
      </c>
      <c r="E5" s="233">
        <f>($C5+$D5)*E$3</f>
        <v>485.54999999999995</v>
      </c>
      <c r="F5" s="328">
        <f t="shared" ref="F5:F16" si="0">($C5+$D5)*F$3</f>
        <v>202.3125</v>
      </c>
      <c r="G5" s="328">
        <f>(C5+D5-E5)*$G$3</f>
        <v>1950.2925</v>
      </c>
      <c r="H5" s="209">
        <f>C5+D5-E5-G5-F5</f>
        <v>10849.345000000001</v>
      </c>
      <c r="I5" s="224">
        <f>$I$3*($C5+$D5)</f>
        <v>4959.3537500000002</v>
      </c>
      <c r="J5" s="229">
        <f>E5+G5+I5+F5</f>
        <v>7597.50875</v>
      </c>
      <c r="K5" s="551">
        <f>H5*$B5</f>
        <v>10849.345000000001</v>
      </c>
      <c r="L5" s="552">
        <f>J5*$B5</f>
        <v>7597.50875</v>
      </c>
      <c r="M5" s="505">
        <f>K5+L5</f>
        <v>18446.853750000002</v>
      </c>
    </row>
    <row r="6" spans="1:13" x14ac:dyDescent="0.2">
      <c r="A6" s="508" t="s">
        <v>227</v>
      </c>
      <c r="B6" s="556">
        <v>1</v>
      </c>
      <c r="C6" s="552">
        <v>0</v>
      </c>
      <c r="D6" s="505">
        <f>$C6*D$3</f>
        <v>0</v>
      </c>
      <c r="E6" s="233">
        <f t="shared" ref="E6:E16" si="1">($C6+$D6)*E$3</f>
        <v>0</v>
      </c>
      <c r="F6" s="328">
        <f t="shared" si="0"/>
        <v>0</v>
      </c>
      <c r="G6" s="328">
        <f t="shared" ref="G6:G16" si="2">(C6+D6-E6)*$G$3</f>
        <v>0</v>
      </c>
      <c r="H6" s="209">
        <f t="shared" ref="H6:H16" si="3">C6+D6-E6-G6-F6</f>
        <v>0</v>
      </c>
      <c r="I6" s="224">
        <f t="shared" ref="I6:I16" si="4">$I$3*($C6+$D6)</f>
        <v>0</v>
      </c>
      <c r="J6" s="229">
        <f t="shared" ref="J6:J16" si="5">E6+G6+I6+F6</f>
        <v>0</v>
      </c>
      <c r="K6" s="551">
        <f t="shared" ref="K6:K16" si="6">H6*$B6</f>
        <v>0</v>
      </c>
      <c r="L6" s="552">
        <f t="shared" ref="L6:L16" si="7">J6*$B6</f>
        <v>0</v>
      </c>
      <c r="M6" s="505">
        <f t="shared" ref="M6:M16" si="8">K6+L6</f>
        <v>0</v>
      </c>
    </row>
    <row r="7" spans="1:13" x14ac:dyDescent="0.2">
      <c r="A7" s="557" t="s">
        <v>308</v>
      </c>
      <c r="B7" s="556">
        <v>1</v>
      </c>
      <c r="C7" s="552">
        <v>9950</v>
      </c>
      <c r="D7" s="505">
        <f t="shared" ref="D7:D16" si="9">$C7*D$3</f>
        <v>829.16666666666663</v>
      </c>
      <c r="E7" s="233">
        <f t="shared" si="1"/>
        <v>388.04999999999995</v>
      </c>
      <c r="F7" s="328">
        <f t="shared" si="0"/>
        <v>161.68749999999997</v>
      </c>
      <c r="G7" s="328">
        <f t="shared" si="2"/>
        <v>1558.6675</v>
      </c>
      <c r="H7" s="209">
        <f t="shared" si="3"/>
        <v>8670.7616666666672</v>
      </c>
      <c r="I7" s="224">
        <f t="shared" si="4"/>
        <v>3963.4995833333332</v>
      </c>
      <c r="J7" s="229">
        <f t="shared" si="5"/>
        <v>6071.904583333333</v>
      </c>
      <c r="K7" s="551">
        <f>H7*$B7</f>
        <v>8670.7616666666672</v>
      </c>
      <c r="L7" s="552">
        <f>J7*$B7</f>
        <v>6071.904583333333</v>
      </c>
      <c r="M7" s="505">
        <f>K7+L7</f>
        <v>14742.66625</v>
      </c>
    </row>
    <row r="8" spans="1:13" x14ac:dyDescent="0.2">
      <c r="A8" s="508" t="s">
        <v>222</v>
      </c>
      <c r="B8" s="556">
        <v>1</v>
      </c>
      <c r="C8" s="552">
        <v>6220</v>
      </c>
      <c r="D8" s="505">
        <f t="shared" si="9"/>
        <v>518.33333333333326</v>
      </c>
      <c r="E8" s="233">
        <f t="shared" si="1"/>
        <v>242.57999999999998</v>
      </c>
      <c r="F8" s="328">
        <f t="shared" si="0"/>
        <v>101.07499999999999</v>
      </c>
      <c r="G8" s="328">
        <f t="shared" si="2"/>
        <v>974.36299999999994</v>
      </c>
      <c r="H8" s="209">
        <f t="shared" si="3"/>
        <v>5420.315333333333</v>
      </c>
      <c r="I8" s="224">
        <f t="shared" si="4"/>
        <v>2477.6851666666666</v>
      </c>
      <c r="J8" s="229">
        <f t="shared" si="5"/>
        <v>3795.7031666666662</v>
      </c>
      <c r="K8" s="551">
        <f t="shared" si="6"/>
        <v>5420.315333333333</v>
      </c>
      <c r="L8" s="552">
        <f t="shared" si="7"/>
        <v>3795.7031666666662</v>
      </c>
      <c r="M8" s="505">
        <f t="shared" si="8"/>
        <v>9216.0184999999983</v>
      </c>
    </row>
    <row r="9" spans="1:13" x14ac:dyDescent="0.2">
      <c r="A9" s="508" t="s">
        <v>223</v>
      </c>
      <c r="B9" s="556">
        <v>1</v>
      </c>
      <c r="C9" s="552">
        <v>3730</v>
      </c>
      <c r="D9" s="505">
        <f t="shared" si="9"/>
        <v>310.83333333333331</v>
      </c>
      <c r="E9" s="233">
        <f t="shared" si="1"/>
        <v>145.47</v>
      </c>
      <c r="F9" s="328">
        <f t="shared" si="0"/>
        <v>60.612499999999997</v>
      </c>
      <c r="G9" s="328">
        <f t="shared" si="2"/>
        <v>584.30450000000008</v>
      </c>
      <c r="H9" s="209">
        <f t="shared" si="3"/>
        <v>3250.4463333333333</v>
      </c>
      <c r="I9" s="224">
        <f t="shared" si="4"/>
        <v>1485.8144166666668</v>
      </c>
      <c r="J9" s="229">
        <f t="shared" si="5"/>
        <v>2276.2014166666672</v>
      </c>
      <c r="K9" s="551">
        <f t="shared" si="6"/>
        <v>3250.4463333333333</v>
      </c>
      <c r="L9" s="552">
        <f t="shared" si="7"/>
        <v>2276.2014166666672</v>
      </c>
      <c r="M9" s="505">
        <f t="shared" si="8"/>
        <v>5526.6477500000001</v>
      </c>
    </row>
    <row r="10" spans="1:13" x14ac:dyDescent="0.2">
      <c r="A10" s="558" t="s">
        <v>436</v>
      </c>
      <c r="B10" s="556">
        <v>1</v>
      </c>
      <c r="C10" s="552">
        <v>5720</v>
      </c>
      <c r="D10" s="505">
        <f t="shared" si="9"/>
        <v>476.66666666666663</v>
      </c>
      <c r="E10" s="233">
        <f t="shared" si="1"/>
        <v>223.07999999999998</v>
      </c>
      <c r="F10" s="328">
        <f t="shared" si="0"/>
        <v>92.95</v>
      </c>
      <c r="G10" s="328">
        <f t="shared" si="2"/>
        <v>896.03800000000001</v>
      </c>
      <c r="H10" s="209">
        <f t="shared" si="3"/>
        <v>4984.5986666666677</v>
      </c>
      <c r="I10" s="224">
        <f t="shared" si="4"/>
        <v>2278.5143333333335</v>
      </c>
      <c r="J10" s="229">
        <f t="shared" si="5"/>
        <v>3490.5823333333333</v>
      </c>
      <c r="K10" s="551">
        <f t="shared" si="6"/>
        <v>4984.5986666666677</v>
      </c>
      <c r="L10" s="552">
        <f t="shared" si="7"/>
        <v>3490.5823333333333</v>
      </c>
      <c r="M10" s="505">
        <f t="shared" si="8"/>
        <v>8475.1810000000005</v>
      </c>
    </row>
    <row r="11" spans="1:13" x14ac:dyDescent="0.2">
      <c r="A11" s="508" t="s">
        <v>437</v>
      </c>
      <c r="B11" s="556">
        <v>1</v>
      </c>
      <c r="C11" s="552">
        <v>4850</v>
      </c>
      <c r="D11" s="505">
        <f t="shared" si="9"/>
        <v>404.16666666666663</v>
      </c>
      <c r="E11" s="233">
        <f t="shared" si="1"/>
        <v>189.15</v>
      </c>
      <c r="F11" s="328">
        <f t="shared" si="0"/>
        <v>78.8125</v>
      </c>
      <c r="G11" s="328">
        <f t="shared" si="2"/>
        <v>759.75250000000005</v>
      </c>
      <c r="H11" s="209">
        <f t="shared" si="3"/>
        <v>4226.4516666666677</v>
      </c>
      <c r="I11" s="224">
        <f t="shared" si="4"/>
        <v>1931.9570833333337</v>
      </c>
      <c r="J11" s="229">
        <f t="shared" si="5"/>
        <v>2959.6720833333338</v>
      </c>
      <c r="K11" s="551">
        <f t="shared" si="6"/>
        <v>4226.4516666666677</v>
      </c>
      <c r="L11" s="552">
        <f t="shared" si="7"/>
        <v>2959.6720833333338</v>
      </c>
      <c r="M11" s="505">
        <f t="shared" si="8"/>
        <v>7186.1237500000016</v>
      </c>
    </row>
    <row r="12" spans="1:13" x14ac:dyDescent="0.2">
      <c r="A12" s="558" t="s">
        <v>438</v>
      </c>
      <c r="B12" s="556">
        <v>1</v>
      </c>
      <c r="C12" s="552">
        <v>4850</v>
      </c>
      <c r="D12" s="505">
        <f t="shared" si="9"/>
        <v>404.16666666666663</v>
      </c>
      <c r="E12" s="233">
        <f t="shared" si="1"/>
        <v>189.15</v>
      </c>
      <c r="F12" s="328">
        <f t="shared" si="0"/>
        <v>78.8125</v>
      </c>
      <c r="G12" s="328">
        <f t="shared" si="2"/>
        <v>759.75250000000005</v>
      </c>
      <c r="H12" s="209">
        <f t="shared" si="3"/>
        <v>4226.4516666666677</v>
      </c>
      <c r="I12" s="224">
        <f t="shared" si="4"/>
        <v>1931.9570833333337</v>
      </c>
      <c r="J12" s="229">
        <f t="shared" si="5"/>
        <v>2959.6720833333338</v>
      </c>
      <c r="K12" s="551">
        <f t="shared" si="6"/>
        <v>4226.4516666666677</v>
      </c>
      <c r="L12" s="552">
        <f t="shared" si="7"/>
        <v>2959.6720833333338</v>
      </c>
      <c r="M12" s="505">
        <f t="shared" si="8"/>
        <v>7186.1237500000016</v>
      </c>
    </row>
    <row r="13" spans="1:13" x14ac:dyDescent="0.2">
      <c r="A13" s="508" t="s">
        <v>439</v>
      </c>
      <c r="B13" s="556">
        <v>1</v>
      </c>
      <c r="C13" s="552">
        <v>3850</v>
      </c>
      <c r="D13" s="505">
        <f t="shared" si="9"/>
        <v>320.83333333333331</v>
      </c>
      <c r="E13" s="233">
        <f t="shared" si="1"/>
        <v>150.14999999999998</v>
      </c>
      <c r="F13" s="328">
        <f t="shared" si="0"/>
        <v>62.562499999999993</v>
      </c>
      <c r="G13" s="328">
        <f t="shared" si="2"/>
        <v>603.10249999999996</v>
      </c>
      <c r="H13" s="209">
        <f t="shared" si="3"/>
        <v>3355.018333333333</v>
      </c>
      <c r="I13" s="224">
        <f t="shared" si="4"/>
        <v>1533.6154166666668</v>
      </c>
      <c r="J13" s="229">
        <f>E13+G13+I13+F13</f>
        <v>2349.4304166666666</v>
      </c>
      <c r="K13" s="551">
        <f t="shared" si="6"/>
        <v>3355.018333333333</v>
      </c>
      <c r="L13" s="552">
        <f t="shared" si="7"/>
        <v>2349.4304166666666</v>
      </c>
      <c r="M13" s="505">
        <f t="shared" si="8"/>
        <v>5704.4487499999996</v>
      </c>
    </row>
    <row r="14" spans="1:13" x14ac:dyDescent="0.2">
      <c r="A14" s="508" t="s">
        <v>309</v>
      </c>
      <c r="B14" s="556">
        <v>4</v>
      </c>
      <c r="C14" s="552">
        <v>3106</v>
      </c>
      <c r="D14" s="505">
        <f t="shared" si="9"/>
        <v>258.83333333333331</v>
      </c>
      <c r="E14" s="233">
        <f t="shared" si="1"/>
        <v>121.134</v>
      </c>
      <c r="F14" s="328">
        <f t="shared" si="0"/>
        <v>50.472500000000004</v>
      </c>
      <c r="G14" s="328">
        <f t="shared" si="2"/>
        <v>486.55489999999998</v>
      </c>
      <c r="H14" s="209">
        <f t="shared" si="3"/>
        <v>2706.6719333333335</v>
      </c>
      <c r="I14" s="224">
        <f t="shared" si="4"/>
        <v>1237.2492166666668</v>
      </c>
      <c r="J14" s="229">
        <f t="shared" si="5"/>
        <v>1895.4106166666668</v>
      </c>
      <c r="K14" s="551">
        <f t="shared" si="6"/>
        <v>10826.687733333334</v>
      </c>
      <c r="L14" s="552">
        <f t="shared" si="7"/>
        <v>7581.6424666666671</v>
      </c>
      <c r="M14" s="505">
        <f t="shared" si="8"/>
        <v>18408.3302</v>
      </c>
    </row>
    <row r="15" spans="1:13" x14ac:dyDescent="0.2">
      <c r="A15" s="508" t="s">
        <v>440</v>
      </c>
      <c r="B15" s="556">
        <v>2</v>
      </c>
      <c r="C15" s="552">
        <v>3480</v>
      </c>
      <c r="D15" s="505">
        <f t="shared" si="9"/>
        <v>290</v>
      </c>
      <c r="E15" s="233">
        <f t="shared" si="1"/>
        <v>135.72</v>
      </c>
      <c r="F15" s="328">
        <f t="shared" si="0"/>
        <v>56.55</v>
      </c>
      <c r="G15" s="328">
        <f t="shared" si="2"/>
        <v>545.14200000000005</v>
      </c>
      <c r="H15" s="209">
        <f t="shared" si="3"/>
        <v>3032.5879999999997</v>
      </c>
      <c r="I15" s="224">
        <f t="shared" si="4"/>
        <v>1386.229</v>
      </c>
      <c r="J15" s="229">
        <f t="shared" si="5"/>
        <v>2123.6410000000005</v>
      </c>
      <c r="K15" s="551">
        <f t="shared" si="6"/>
        <v>6065.1759999999995</v>
      </c>
      <c r="L15" s="552">
        <f t="shared" si="7"/>
        <v>4247.2820000000011</v>
      </c>
      <c r="M15" s="505">
        <f t="shared" si="8"/>
        <v>10312.458000000001</v>
      </c>
    </row>
    <row r="16" spans="1:13" x14ac:dyDescent="0.2">
      <c r="A16" s="508" t="s">
        <v>250</v>
      </c>
      <c r="B16" s="556">
        <v>5</v>
      </c>
      <c r="C16" s="552">
        <v>3106</v>
      </c>
      <c r="D16" s="505">
        <f t="shared" si="9"/>
        <v>258.83333333333331</v>
      </c>
      <c r="E16" s="233">
        <f t="shared" si="1"/>
        <v>121.134</v>
      </c>
      <c r="F16" s="328">
        <f t="shared" si="0"/>
        <v>50.472500000000004</v>
      </c>
      <c r="G16" s="328">
        <f t="shared" si="2"/>
        <v>486.55489999999998</v>
      </c>
      <c r="H16" s="209">
        <f t="shared" si="3"/>
        <v>2706.6719333333335</v>
      </c>
      <c r="I16" s="224">
        <f t="shared" si="4"/>
        <v>1237.2492166666668</v>
      </c>
      <c r="J16" s="229">
        <f t="shared" si="5"/>
        <v>1895.4106166666668</v>
      </c>
      <c r="K16" s="551">
        <f t="shared" si="6"/>
        <v>13533.359666666667</v>
      </c>
      <c r="L16" s="552">
        <f t="shared" si="7"/>
        <v>9477.0530833333341</v>
      </c>
      <c r="M16" s="505">
        <f t="shared" si="8"/>
        <v>23010.412750000003</v>
      </c>
    </row>
    <row r="17" spans="1:13" hidden="1" outlineLevel="1" x14ac:dyDescent="0.2">
      <c r="A17" s="508"/>
      <c r="B17" s="556"/>
      <c r="C17" s="559"/>
      <c r="D17" s="560"/>
      <c r="E17" s="336"/>
      <c r="F17" s="337"/>
      <c r="G17" s="338"/>
      <c r="H17" s="339"/>
      <c r="I17" s="338"/>
      <c r="J17" s="340"/>
      <c r="K17" s="508"/>
      <c r="L17" s="511"/>
      <c r="M17" s="506"/>
    </row>
    <row r="18" spans="1:13" s="203" customFormat="1" collapsed="1" x14ac:dyDescent="0.2">
      <c r="A18" s="554" t="s">
        <v>226</v>
      </c>
      <c r="B18" s="500">
        <f>SUM(B5:B17)</f>
        <v>20</v>
      </c>
      <c r="C18" s="333">
        <f>SUM(C5:C17)</f>
        <v>61312</v>
      </c>
      <c r="D18" s="335">
        <f t="shared" ref="D18:J18" si="10">SUM(D5:D17)</f>
        <v>5109.3333333333321</v>
      </c>
      <c r="E18" s="334">
        <f t="shared" si="10"/>
        <v>2391.1679999999997</v>
      </c>
      <c r="F18" s="333">
        <f t="shared" si="10"/>
        <v>996.31999999999994</v>
      </c>
      <c r="G18" s="333">
        <f t="shared" si="10"/>
        <v>9604.5248000000011</v>
      </c>
      <c r="H18" s="333">
        <f t="shared" si="10"/>
        <v>53429.320533333332</v>
      </c>
      <c r="I18" s="333">
        <f t="shared" si="10"/>
        <v>24423.124266666669</v>
      </c>
      <c r="J18" s="335">
        <f t="shared" si="10"/>
        <v>37415.13706666667</v>
      </c>
      <c r="K18" s="553">
        <f>SUM(K5:K17)</f>
        <v>75408.612066666668</v>
      </c>
      <c r="L18" s="501">
        <f>SUM(L5:L17)</f>
        <v>52806.652383333334</v>
      </c>
      <c r="M18" s="507">
        <f>SUM(M5:M17)</f>
        <v>128215.26444999999</v>
      </c>
    </row>
    <row r="19" spans="1:13" hidden="1" outlineLevel="1" x14ac:dyDescent="0.2"/>
    <row r="20" spans="1:13" hidden="1" outlineLevel="1" x14ac:dyDescent="0.2"/>
    <row r="21" spans="1:13" hidden="1" outlineLevel="1" x14ac:dyDescent="0.2"/>
    <row r="22" spans="1:13" hidden="1" outlineLevel="1" x14ac:dyDescent="0.2"/>
    <row r="23" spans="1:13" hidden="1" outlineLevel="1" x14ac:dyDescent="0.2"/>
    <row r="24" spans="1:13" hidden="1" outlineLevel="1" x14ac:dyDescent="0.2"/>
    <row r="25" spans="1:13" hidden="1" outlineLevel="1" x14ac:dyDescent="0.2"/>
    <row r="26" spans="1:13" hidden="1" outlineLevel="1" x14ac:dyDescent="0.2"/>
    <row r="27" spans="1:13" hidden="1" outlineLevel="1" x14ac:dyDescent="0.2"/>
    <row r="28" spans="1:13" hidden="1" outlineLevel="1" x14ac:dyDescent="0.2"/>
    <row r="29" spans="1:13" hidden="1" outlineLevel="1" x14ac:dyDescent="0.2"/>
    <row r="30" spans="1:13" hidden="1" outlineLevel="1" x14ac:dyDescent="0.2"/>
    <row r="31" spans="1:13" hidden="1" outlineLevel="1" x14ac:dyDescent="0.2"/>
    <row r="32" spans="1:13" hidden="1" outlineLevel="1" x14ac:dyDescent="0.2"/>
    <row r="33" spans="13:13" collapsed="1" x14ac:dyDescent="0.2">
      <c r="M33" s="210"/>
    </row>
  </sheetData>
  <phoneticPr fontId="3" type="noConversion"/>
  <printOptions horizontalCentered="1"/>
  <pageMargins left="0.35433070866141736" right="0.35433070866141736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Q79"/>
  <sheetViews>
    <sheetView tabSelected="1" topLeftCell="B15" workbookViewId="0">
      <selection activeCell="C22" sqref="C22:N22"/>
    </sheetView>
  </sheetViews>
  <sheetFormatPr defaultRowHeight="12.75" outlineLevelRow="1" outlineLevelCol="1" x14ac:dyDescent="0.2"/>
  <cols>
    <col min="1" max="1" width="5.140625" hidden="1" customWidth="1" outlineLevel="1"/>
    <col min="2" max="2" width="44.28515625" style="460" customWidth="1" collapsed="1"/>
    <col min="3" max="4" width="10.140625" style="540" bestFit="1" customWidth="1"/>
    <col min="5" max="5" width="10.28515625" style="509" bestFit="1" customWidth="1"/>
    <col min="6" max="9" width="10.140625" style="540" bestFit="1" customWidth="1"/>
    <col min="10" max="10" width="10.140625" style="509" bestFit="1" customWidth="1"/>
    <col min="11" max="11" width="10.28515625" style="540" bestFit="1" customWidth="1"/>
    <col min="12" max="13" width="10.140625" style="540" bestFit="1" customWidth="1"/>
    <col min="14" max="14" width="10.140625" style="509" bestFit="1" customWidth="1"/>
    <col min="15" max="15" width="11.85546875" style="509" bestFit="1" customWidth="1"/>
    <col min="16" max="16" width="1.7109375" customWidth="1"/>
  </cols>
  <sheetData>
    <row r="1" spans="2:15" s="488" customFormat="1" ht="26.25" customHeight="1" thickBot="1" x14ac:dyDescent="0.25">
      <c r="B1" s="541" t="s">
        <v>416</v>
      </c>
      <c r="C1" s="542"/>
      <c r="D1" s="542"/>
      <c r="E1" s="543"/>
      <c r="F1" s="542"/>
      <c r="G1" s="542"/>
      <c r="H1" s="542"/>
      <c r="I1" s="542"/>
      <c r="J1" s="543"/>
      <c r="K1" s="542"/>
      <c r="L1" s="542"/>
      <c r="M1" s="542"/>
      <c r="N1" s="544"/>
      <c r="O1" s="544"/>
    </row>
    <row r="2" spans="2:15" s="459" customFormat="1" ht="13.5" thickBot="1" x14ac:dyDescent="0.25">
      <c r="B2" s="472"/>
      <c r="C2" s="518" t="s">
        <v>369</v>
      </c>
      <c r="D2" s="518" t="s">
        <v>370</v>
      </c>
      <c r="E2" s="519" t="s">
        <v>371</v>
      </c>
      <c r="F2" s="518" t="s">
        <v>372</v>
      </c>
      <c r="G2" s="518" t="s">
        <v>373</v>
      </c>
      <c r="H2" s="518" t="s">
        <v>374</v>
      </c>
      <c r="I2" s="518" t="s">
        <v>375</v>
      </c>
      <c r="J2" s="519" t="s">
        <v>376</v>
      </c>
      <c r="K2" s="518" t="s">
        <v>377</v>
      </c>
      <c r="L2" s="518" t="s">
        <v>378</v>
      </c>
      <c r="M2" s="518" t="s">
        <v>379</v>
      </c>
      <c r="N2" s="518" t="s">
        <v>380</v>
      </c>
      <c r="O2" s="520" t="s">
        <v>381</v>
      </c>
    </row>
    <row r="3" spans="2:15" s="459" customFormat="1" x14ac:dyDescent="0.2">
      <c r="B3" s="473" t="s">
        <v>368</v>
      </c>
      <c r="C3" s="521"/>
      <c r="D3" s="521"/>
      <c r="E3" s="522"/>
      <c r="F3" s="521"/>
      <c r="G3" s="521"/>
      <c r="H3" s="521"/>
      <c r="I3" s="521"/>
      <c r="J3" s="522"/>
      <c r="K3" s="521"/>
      <c r="L3" s="521"/>
      <c r="M3" s="521"/>
      <c r="N3" s="521"/>
      <c r="O3" s="523"/>
    </row>
    <row r="4" spans="2:15" s="1" customFormat="1" x14ac:dyDescent="0.2">
      <c r="B4" s="474" t="s">
        <v>424</v>
      </c>
      <c r="C4" s="490"/>
      <c r="D4" s="490"/>
      <c r="E4" s="510"/>
      <c r="F4" s="490"/>
      <c r="G4" s="490"/>
      <c r="H4" s="490"/>
      <c r="I4" s="490"/>
      <c r="J4" s="510"/>
      <c r="K4" s="490"/>
      <c r="L4" s="490"/>
      <c r="M4" s="490"/>
      <c r="N4" s="490"/>
      <c r="O4" s="524"/>
    </row>
    <row r="5" spans="2:15" x14ac:dyDescent="0.2">
      <c r="B5" s="475" t="s">
        <v>382</v>
      </c>
      <c r="C5" s="491">
        <f>'2014'!G4</f>
        <v>229667.34</v>
      </c>
      <c r="D5" s="491">
        <f>C5</f>
        <v>229667.34</v>
      </c>
      <c r="E5" s="509">
        <f t="shared" ref="E5:E8" si="0">D5</f>
        <v>229667.34</v>
      </c>
      <c r="F5" s="491">
        <f>'2015-1'!G4</f>
        <v>250627.272</v>
      </c>
      <c r="G5" s="491">
        <f t="shared" ref="G5:N5" si="1">F5</f>
        <v>250627.272</v>
      </c>
      <c r="H5" s="491">
        <f t="shared" si="1"/>
        <v>250627.272</v>
      </c>
      <c r="I5" s="491">
        <f t="shared" si="1"/>
        <v>250627.272</v>
      </c>
      <c r="J5" s="509">
        <f t="shared" si="1"/>
        <v>250627.272</v>
      </c>
      <c r="K5" s="491">
        <f>'2015-2'!G4</f>
        <v>259546.39199999999</v>
      </c>
      <c r="L5" s="491">
        <f t="shared" si="1"/>
        <v>259546.39199999999</v>
      </c>
      <c r="M5" s="491">
        <f t="shared" si="1"/>
        <v>259546.39199999999</v>
      </c>
      <c r="N5" s="491">
        <f t="shared" si="1"/>
        <v>259546.39199999999</v>
      </c>
      <c r="O5" s="525">
        <f>SUM(C5:N5)</f>
        <v>2980323.9479999999</v>
      </c>
    </row>
    <row r="6" spans="2:15" x14ac:dyDescent="0.2">
      <c r="B6" s="475" t="s">
        <v>383</v>
      </c>
      <c r="C6" s="491">
        <f>'2014'!G5</f>
        <v>101201.81</v>
      </c>
      <c r="D6" s="491">
        <f t="shared" ref="D6" si="2">C6</f>
        <v>101201.81</v>
      </c>
      <c r="E6" s="509">
        <f t="shared" si="0"/>
        <v>101201.81</v>
      </c>
      <c r="F6" s="491">
        <f>'2015-1'!G5</f>
        <v>201542.32799999998</v>
      </c>
      <c r="G6" s="491">
        <f t="shared" ref="G6:N6" si="3">F6</f>
        <v>201542.32799999998</v>
      </c>
      <c r="H6" s="491">
        <f t="shared" si="3"/>
        <v>201542.32799999998</v>
      </c>
      <c r="I6" s="491">
        <f t="shared" si="3"/>
        <v>201542.32799999998</v>
      </c>
      <c r="J6" s="509">
        <f t="shared" si="3"/>
        <v>201542.32799999998</v>
      </c>
      <c r="K6" s="491">
        <f>'2015-2'!G5</f>
        <v>201542.32799999998</v>
      </c>
      <c r="L6" s="491">
        <f t="shared" si="3"/>
        <v>201542.32799999998</v>
      </c>
      <c r="M6" s="491">
        <f t="shared" si="3"/>
        <v>201542.32799999998</v>
      </c>
      <c r="N6" s="491">
        <f t="shared" si="3"/>
        <v>201542.32799999998</v>
      </c>
      <c r="O6" s="525">
        <f t="shared" ref="O6:O9" si="4">SUM(C6:N6)</f>
        <v>2117486.3819999998</v>
      </c>
    </row>
    <row r="7" spans="2:15" x14ac:dyDescent="0.2">
      <c r="B7" s="475" t="s">
        <v>385</v>
      </c>
      <c r="C7" s="491">
        <f>'2014'!G6</f>
        <v>83880</v>
      </c>
      <c r="D7" s="491">
        <f t="shared" ref="D7" si="5">C7</f>
        <v>83880</v>
      </c>
      <c r="E7" s="509">
        <f t="shared" si="0"/>
        <v>83880</v>
      </c>
      <c r="F7" s="491">
        <f>'2015-1'!G6</f>
        <v>126000</v>
      </c>
      <c r="G7" s="491">
        <f t="shared" ref="G7:N7" si="6">F7</f>
        <v>126000</v>
      </c>
      <c r="H7" s="491">
        <f t="shared" si="6"/>
        <v>126000</v>
      </c>
      <c r="I7" s="491">
        <f t="shared" si="6"/>
        <v>126000</v>
      </c>
      <c r="J7" s="509">
        <f t="shared" si="6"/>
        <v>126000</v>
      </c>
      <c r="K7" s="491">
        <f>'2015-2'!G6</f>
        <v>157800</v>
      </c>
      <c r="L7" s="491">
        <f t="shared" si="6"/>
        <v>157800</v>
      </c>
      <c r="M7" s="491">
        <f t="shared" si="6"/>
        <v>157800</v>
      </c>
      <c r="N7" s="491">
        <f t="shared" si="6"/>
        <v>157800</v>
      </c>
      <c r="O7" s="525">
        <f t="shared" si="4"/>
        <v>1512840</v>
      </c>
    </row>
    <row r="8" spans="2:15" x14ac:dyDescent="0.2">
      <c r="B8" s="475" t="s">
        <v>384</v>
      </c>
      <c r="C8" s="491">
        <f>'2014'!G7</f>
        <v>35682</v>
      </c>
      <c r="D8" s="491">
        <f t="shared" ref="D8" si="7">C8</f>
        <v>35682</v>
      </c>
      <c r="E8" s="509">
        <f t="shared" si="0"/>
        <v>35682</v>
      </c>
      <c r="F8" s="491">
        <f>'2015-1'!G7</f>
        <v>42522</v>
      </c>
      <c r="G8" s="491">
        <f t="shared" ref="G8:N9" si="8">F8</f>
        <v>42522</v>
      </c>
      <c r="H8" s="491">
        <f t="shared" si="8"/>
        <v>42522</v>
      </c>
      <c r="I8" s="491">
        <f t="shared" si="8"/>
        <v>42522</v>
      </c>
      <c r="J8" s="509">
        <f t="shared" si="8"/>
        <v>42522</v>
      </c>
      <c r="K8" s="491">
        <f>'2015-2'!G7</f>
        <v>42522</v>
      </c>
      <c r="L8" s="491">
        <f t="shared" si="8"/>
        <v>42522</v>
      </c>
      <c r="M8" s="491">
        <f t="shared" si="8"/>
        <v>42522</v>
      </c>
      <c r="N8" s="491">
        <f t="shared" si="8"/>
        <v>42522</v>
      </c>
      <c r="O8" s="525">
        <f t="shared" si="4"/>
        <v>489744</v>
      </c>
    </row>
    <row r="9" spans="2:15" x14ac:dyDescent="0.2">
      <c r="B9" s="475" t="s">
        <v>386</v>
      </c>
      <c r="C9" s="491"/>
      <c r="D9" s="491"/>
      <c r="F9" s="491">
        <f>'2015-1'!G8</f>
        <v>8925</v>
      </c>
      <c r="G9" s="491">
        <f t="shared" si="8"/>
        <v>8925</v>
      </c>
      <c r="H9" s="491">
        <f t="shared" si="8"/>
        <v>8925</v>
      </c>
      <c r="I9" s="491">
        <f t="shared" si="8"/>
        <v>8925</v>
      </c>
      <c r="J9" s="509">
        <f t="shared" si="8"/>
        <v>8925</v>
      </c>
      <c r="K9" s="491">
        <f>'2015-2'!G8</f>
        <v>8925</v>
      </c>
      <c r="L9" s="491">
        <f t="shared" si="8"/>
        <v>8925</v>
      </c>
      <c r="M9" s="491">
        <f t="shared" si="8"/>
        <v>8925</v>
      </c>
      <c r="N9" s="491">
        <f t="shared" si="8"/>
        <v>8925</v>
      </c>
      <c r="O9" s="525">
        <f t="shared" si="4"/>
        <v>80325</v>
      </c>
    </row>
    <row r="10" spans="2:15" s="1" customFormat="1" x14ac:dyDescent="0.2">
      <c r="B10" s="476" t="s">
        <v>425</v>
      </c>
      <c r="C10" s="526">
        <f>SUM(C5:C9)</f>
        <v>450431.15</v>
      </c>
      <c r="D10" s="526">
        <f t="shared" ref="D10:O10" si="9">SUM(D5:D9)</f>
        <v>450431.15</v>
      </c>
      <c r="E10" s="527">
        <f t="shared" si="9"/>
        <v>450431.15</v>
      </c>
      <c r="F10" s="526">
        <f t="shared" si="9"/>
        <v>629616.6</v>
      </c>
      <c r="G10" s="526">
        <f t="shared" si="9"/>
        <v>629616.6</v>
      </c>
      <c r="H10" s="526">
        <f t="shared" si="9"/>
        <v>629616.6</v>
      </c>
      <c r="I10" s="526">
        <f t="shared" si="9"/>
        <v>629616.6</v>
      </c>
      <c r="J10" s="527">
        <f t="shared" si="9"/>
        <v>629616.6</v>
      </c>
      <c r="K10" s="526">
        <f t="shared" si="9"/>
        <v>670335.72</v>
      </c>
      <c r="L10" s="526">
        <f t="shared" si="9"/>
        <v>670335.72</v>
      </c>
      <c r="M10" s="526">
        <f t="shared" si="9"/>
        <v>670335.72</v>
      </c>
      <c r="N10" s="526">
        <f t="shared" si="9"/>
        <v>670335.72</v>
      </c>
      <c r="O10" s="528">
        <f t="shared" si="9"/>
        <v>7180719.3300000001</v>
      </c>
    </row>
    <row r="11" spans="2:15" x14ac:dyDescent="0.2">
      <c r="B11" s="474" t="s">
        <v>426</v>
      </c>
      <c r="C11" s="491"/>
      <c r="D11" s="491"/>
      <c r="F11" s="491"/>
      <c r="G11" s="491"/>
      <c r="H11" s="491"/>
      <c r="I11" s="491"/>
      <c r="K11" s="491"/>
      <c r="L11" s="491"/>
      <c r="M11" s="491"/>
      <c r="N11" s="491"/>
      <c r="O11" s="525"/>
    </row>
    <row r="12" spans="2:15" x14ac:dyDescent="0.2">
      <c r="B12" s="475" t="s">
        <v>382</v>
      </c>
      <c r="C12" s="491">
        <f>'2014'!M4</f>
        <v>55380</v>
      </c>
      <c r="D12" s="491">
        <f t="shared" ref="D12:E12" si="10">C12</f>
        <v>55380</v>
      </c>
      <c r="E12" s="509">
        <f t="shared" si="10"/>
        <v>55380</v>
      </c>
      <c r="F12" s="491">
        <f>'2015-1'!M4</f>
        <v>59640</v>
      </c>
      <c r="G12" s="491">
        <f t="shared" ref="G12:N12" si="11">F12</f>
        <v>59640</v>
      </c>
      <c r="H12" s="491">
        <f t="shared" si="11"/>
        <v>59640</v>
      </c>
      <c r="I12" s="491">
        <f t="shared" si="11"/>
        <v>59640</v>
      </c>
      <c r="J12" s="509">
        <f t="shared" si="11"/>
        <v>59640</v>
      </c>
      <c r="K12" s="491">
        <f>'2015-2'!M4</f>
        <v>61060</v>
      </c>
      <c r="L12" s="491">
        <f t="shared" si="11"/>
        <v>61060</v>
      </c>
      <c r="M12" s="491">
        <f t="shared" si="11"/>
        <v>61060</v>
      </c>
      <c r="N12" s="491">
        <f t="shared" si="11"/>
        <v>61060</v>
      </c>
      <c r="O12" s="525">
        <f t="shared" ref="O12:O16" si="12">SUM(C12:N12)</f>
        <v>708580</v>
      </c>
    </row>
    <row r="13" spans="2:15" x14ac:dyDescent="0.2">
      <c r="B13" s="475" t="s">
        <v>383</v>
      </c>
      <c r="C13" s="491">
        <f>'2014'!M5</f>
        <v>600</v>
      </c>
      <c r="D13" s="491">
        <f t="shared" ref="D13:E13" si="13">C13</f>
        <v>600</v>
      </c>
      <c r="E13" s="509">
        <f t="shared" si="13"/>
        <v>600</v>
      </c>
      <c r="F13" s="491">
        <f>'2015-1'!M5</f>
        <v>936</v>
      </c>
      <c r="G13" s="491">
        <f t="shared" ref="G13:N13" si="14">F13</f>
        <v>936</v>
      </c>
      <c r="H13" s="491">
        <f t="shared" si="14"/>
        <v>936</v>
      </c>
      <c r="I13" s="491">
        <f t="shared" si="14"/>
        <v>936</v>
      </c>
      <c r="J13" s="509">
        <f t="shared" si="14"/>
        <v>936</v>
      </c>
      <c r="K13" s="491">
        <f>'2015-2'!M5</f>
        <v>936</v>
      </c>
      <c r="L13" s="491">
        <f t="shared" si="14"/>
        <v>936</v>
      </c>
      <c r="M13" s="491">
        <f t="shared" si="14"/>
        <v>936</v>
      </c>
      <c r="N13" s="491">
        <f t="shared" si="14"/>
        <v>936</v>
      </c>
      <c r="O13" s="525">
        <f t="shared" si="12"/>
        <v>10224</v>
      </c>
    </row>
    <row r="14" spans="2:15" x14ac:dyDescent="0.2">
      <c r="B14" s="475" t="s">
        <v>385</v>
      </c>
      <c r="C14" s="491">
        <f>'2014'!M6</f>
        <v>21349.8</v>
      </c>
      <c r="D14" s="491">
        <f t="shared" ref="D14:E14" si="15">C14</f>
        <v>21349.8</v>
      </c>
      <c r="E14" s="509">
        <f t="shared" si="15"/>
        <v>21349.8</v>
      </c>
      <c r="F14" s="491">
        <f>'2015-1'!M6</f>
        <v>25200</v>
      </c>
      <c r="G14" s="491">
        <f t="shared" ref="G14:N14" si="16">F14</f>
        <v>25200</v>
      </c>
      <c r="H14" s="491">
        <f t="shared" si="16"/>
        <v>25200</v>
      </c>
      <c r="I14" s="491">
        <f t="shared" si="16"/>
        <v>25200</v>
      </c>
      <c r="J14" s="509">
        <f t="shared" si="16"/>
        <v>25200</v>
      </c>
      <c r="K14" s="491">
        <f>'2015-2'!M6</f>
        <v>28200</v>
      </c>
      <c r="L14" s="491">
        <f t="shared" si="16"/>
        <v>28200</v>
      </c>
      <c r="M14" s="491">
        <f t="shared" si="16"/>
        <v>28200</v>
      </c>
      <c r="N14" s="491">
        <f t="shared" si="16"/>
        <v>28200</v>
      </c>
      <c r="O14" s="525">
        <f t="shared" si="12"/>
        <v>302849.40000000002</v>
      </c>
    </row>
    <row r="15" spans="2:15" x14ac:dyDescent="0.2">
      <c r="B15" s="475" t="s">
        <v>384</v>
      </c>
      <c r="C15" s="491">
        <f>'2014'!M7</f>
        <v>62.599999999999994</v>
      </c>
      <c r="D15" s="491">
        <f t="shared" ref="D15:E15" si="17">C15</f>
        <v>62.599999999999994</v>
      </c>
      <c r="E15" s="509">
        <f t="shared" si="17"/>
        <v>62.599999999999994</v>
      </c>
      <c r="F15" s="491">
        <f>'2015-1'!M7</f>
        <v>74.599999999999994</v>
      </c>
      <c r="G15" s="491">
        <f t="shared" ref="G15:N16" si="18">F15</f>
        <v>74.599999999999994</v>
      </c>
      <c r="H15" s="491">
        <f t="shared" si="18"/>
        <v>74.599999999999994</v>
      </c>
      <c r="I15" s="491">
        <f t="shared" si="18"/>
        <v>74.599999999999994</v>
      </c>
      <c r="J15" s="509">
        <f t="shared" si="18"/>
        <v>74.599999999999994</v>
      </c>
      <c r="K15" s="491">
        <f>'2015-2'!M7</f>
        <v>74.599999999999994</v>
      </c>
      <c r="L15" s="491">
        <f t="shared" si="18"/>
        <v>74.599999999999994</v>
      </c>
      <c r="M15" s="491">
        <f t="shared" si="18"/>
        <v>74.599999999999994</v>
      </c>
      <c r="N15" s="491">
        <f t="shared" si="18"/>
        <v>74.599999999999994</v>
      </c>
      <c r="O15" s="525">
        <f t="shared" si="12"/>
        <v>859.20000000000016</v>
      </c>
    </row>
    <row r="16" spans="2:15" x14ac:dyDescent="0.2">
      <c r="B16" s="475" t="s">
        <v>386</v>
      </c>
      <c r="C16" s="491"/>
      <c r="D16" s="491"/>
      <c r="F16" s="491">
        <f>'2015-1'!M8</f>
        <v>29.75</v>
      </c>
      <c r="G16" s="491">
        <f t="shared" si="18"/>
        <v>29.75</v>
      </c>
      <c r="H16" s="491">
        <f t="shared" si="18"/>
        <v>29.75</v>
      </c>
      <c r="I16" s="491">
        <f t="shared" si="18"/>
        <v>29.75</v>
      </c>
      <c r="J16" s="509">
        <f t="shared" si="18"/>
        <v>29.75</v>
      </c>
      <c r="K16" s="491">
        <f>'2015-2'!M8</f>
        <v>29.75</v>
      </c>
      <c r="L16" s="491">
        <f t="shared" si="18"/>
        <v>29.75</v>
      </c>
      <c r="M16" s="491">
        <f t="shared" si="18"/>
        <v>29.75</v>
      </c>
      <c r="N16" s="491">
        <f t="shared" si="18"/>
        <v>29.75</v>
      </c>
      <c r="O16" s="525">
        <f t="shared" si="12"/>
        <v>267.75</v>
      </c>
    </row>
    <row r="17" spans="1:15" x14ac:dyDescent="0.2">
      <c r="B17" s="476" t="s">
        <v>427</v>
      </c>
      <c r="C17" s="526">
        <f>SUM(C12:C16)</f>
        <v>77392.400000000009</v>
      </c>
      <c r="D17" s="526">
        <f t="shared" ref="D17" si="19">SUM(D12:D16)</f>
        <v>77392.400000000009</v>
      </c>
      <c r="E17" s="527">
        <f t="shared" ref="E17" si="20">SUM(E12:E16)</f>
        <v>77392.400000000009</v>
      </c>
      <c r="F17" s="526">
        <f t="shared" ref="F17" si="21">SUM(F12:F16)</f>
        <v>85880.35</v>
      </c>
      <c r="G17" s="526">
        <f t="shared" ref="G17" si="22">SUM(G12:G16)</f>
        <v>85880.35</v>
      </c>
      <c r="H17" s="526">
        <f t="shared" ref="H17" si="23">SUM(H12:H16)</f>
        <v>85880.35</v>
      </c>
      <c r="I17" s="526">
        <f t="shared" ref="I17" si="24">SUM(I12:I16)</f>
        <v>85880.35</v>
      </c>
      <c r="J17" s="527">
        <f t="shared" ref="J17" si="25">SUM(J12:J16)</f>
        <v>85880.35</v>
      </c>
      <c r="K17" s="526">
        <f t="shared" ref="K17" si="26">SUM(K12:K16)</f>
        <v>90300.35</v>
      </c>
      <c r="L17" s="526">
        <f t="shared" ref="L17" si="27">SUM(L12:L16)</f>
        <v>90300.35</v>
      </c>
      <c r="M17" s="526">
        <f t="shared" ref="M17" si="28">SUM(M12:M16)</f>
        <v>90300.35</v>
      </c>
      <c r="N17" s="526">
        <f t="shared" ref="N17" si="29">SUM(N12:N16)</f>
        <v>90300.35</v>
      </c>
      <c r="O17" s="528">
        <f t="shared" ref="O17" si="30">SUM(O12:O16)</f>
        <v>1022780.35</v>
      </c>
    </row>
    <row r="18" spans="1:15" x14ac:dyDescent="0.2">
      <c r="B18" s="474" t="s">
        <v>428</v>
      </c>
      <c r="C18" s="491"/>
      <c r="D18" s="491"/>
      <c r="F18" s="491"/>
      <c r="G18" s="491"/>
      <c r="H18" s="491"/>
      <c r="I18" s="491"/>
      <c r="K18" s="491"/>
      <c r="L18" s="491"/>
      <c r="M18" s="491"/>
      <c r="N18" s="491"/>
      <c r="O18" s="525"/>
    </row>
    <row r="19" spans="1:15" x14ac:dyDescent="0.2">
      <c r="B19" s="475" t="s">
        <v>382</v>
      </c>
      <c r="C19" s="491">
        <f>'2014'!S4+'2014'!S5</f>
        <v>13440</v>
      </c>
      <c r="D19" s="491">
        <f t="shared" ref="D19:E19" si="31">C19</f>
        <v>13440</v>
      </c>
      <c r="E19" s="509">
        <f t="shared" si="31"/>
        <v>13440</v>
      </c>
      <c r="F19" s="491">
        <f>'2015-1'!S4</f>
        <v>18236</v>
      </c>
      <c r="G19" s="491">
        <f t="shared" ref="G19:N19" si="32">F19</f>
        <v>18236</v>
      </c>
      <c r="H19" s="491">
        <f t="shared" si="32"/>
        <v>18236</v>
      </c>
      <c r="I19" s="491">
        <f t="shared" si="32"/>
        <v>18236</v>
      </c>
      <c r="J19" s="509">
        <f t="shared" si="32"/>
        <v>18236</v>
      </c>
      <c r="K19" s="491">
        <f>'2015-2'!S4</f>
        <v>19206</v>
      </c>
      <c r="L19" s="491">
        <f t="shared" si="32"/>
        <v>19206</v>
      </c>
      <c r="M19" s="491">
        <f t="shared" si="32"/>
        <v>19206</v>
      </c>
      <c r="N19" s="491">
        <f t="shared" si="32"/>
        <v>19206</v>
      </c>
      <c r="O19" s="525">
        <f t="shared" ref="O19:O20" si="33">SUM(C19:N19)</f>
        <v>208324</v>
      </c>
    </row>
    <row r="20" spans="1:15" x14ac:dyDescent="0.2">
      <c r="B20" s="475" t="s">
        <v>389</v>
      </c>
      <c r="C20" s="491">
        <f>'2014'!S9</f>
        <v>38400</v>
      </c>
      <c r="D20" s="491">
        <f t="shared" ref="D20:E20" si="34">C20</f>
        <v>38400</v>
      </c>
      <c r="E20" s="509">
        <f t="shared" si="34"/>
        <v>38400</v>
      </c>
      <c r="F20" s="491">
        <f>'2015-1'!S9</f>
        <v>31200</v>
      </c>
      <c r="G20" s="491">
        <f t="shared" ref="G20:N20" si="35">F20</f>
        <v>31200</v>
      </c>
      <c r="H20" s="491">
        <f t="shared" si="35"/>
        <v>31200</v>
      </c>
      <c r="I20" s="491">
        <f t="shared" si="35"/>
        <v>31200</v>
      </c>
      <c r="J20" s="509">
        <f t="shared" si="35"/>
        <v>31200</v>
      </c>
      <c r="K20" s="491">
        <f>'2015-2'!S9</f>
        <v>31200</v>
      </c>
      <c r="L20" s="491">
        <f t="shared" si="35"/>
        <v>31200</v>
      </c>
      <c r="M20" s="491">
        <f t="shared" si="35"/>
        <v>31200</v>
      </c>
      <c r="N20" s="491">
        <f t="shared" si="35"/>
        <v>31200</v>
      </c>
      <c r="O20" s="525">
        <f t="shared" si="33"/>
        <v>396000</v>
      </c>
    </row>
    <row r="21" spans="1:15" x14ac:dyDescent="0.2">
      <c r="B21" s="476" t="s">
        <v>429</v>
      </c>
      <c r="C21" s="526">
        <f>SUM(C19:C20)</f>
        <v>51840</v>
      </c>
      <c r="D21" s="526">
        <f t="shared" ref="D21:O21" si="36">SUM(D19:D20)</f>
        <v>51840</v>
      </c>
      <c r="E21" s="527">
        <f t="shared" si="36"/>
        <v>51840</v>
      </c>
      <c r="F21" s="526">
        <f t="shared" si="36"/>
        <v>49436</v>
      </c>
      <c r="G21" s="526">
        <f t="shared" si="36"/>
        <v>49436</v>
      </c>
      <c r="H21" s="526">
        <f t="shared" si="36"/>
        <v>49436</v>
      </c>
      <c r="I21" s="526">
        <f t="shared" si="36"/>
        <v>49436</v>
      </c>
      <c r="J21" s="527">
        <f t="shared" si="36"/>
        <v>49436</v>
      </c>
      <c r="K21" s="526">
        <f t="shared" si="36"/>
        <v>50406</v>
      </c>
      <c r="L21" s="526">
        <f t="shared" si="36"/>
        <v>50406</v>
      </c>
      <c r="M21" s="526">
        <f t="shared" si="36"/>
        <v>50406</v>
      </c>
      <c r="N21" s="526">
        <f t="shared" si="36"/>
        <v>50406</v>
      </c>
      <c r="O21" s="528">
        <f t="shared" si="36"/>
        <v>604324</v>
      </c>
    </row>
    <row r="22" spans="1:15" ht="13.5" thickBot="1" x14ac:dyDescent="0.25">
      <c r="B22" s="477" t="s">
        <v>387</v>
      </c>
      <c r="C22" s="529">
        <f>C10+C17+C21</f>
        <v>579663.55000000005</v>
      </c>
      <c r="D22" s="529">
        <f t="shared" ref="D22:O22" si="37">D10+D17+D21</f>
        <v>579663.55000000005</v>
      </c>
      <c r="E22" s="529">
        <f t="shared" si="37"/>
        <v>579663.55000000005</v>
      </c>
      <c r="F22" s="529">
        <f t="shared" si="37"/>
        <v>764932.95</v>
      </c>
      <c r="G22" s="529">
        <f t="shared" si="37"/>
        <v>764932.95</v>
      </c>
      <c r="H22" s="529">
        <f t="shared" si="37"/>
        <v>764932.95</v>
      </c>
      <c r="I22" s="529">
        <f t="shared" si="37"/>
        <v>764932.95</v>
      </c>
      <c r="J22" s="530">
        <f t="shared" si="37"/>
        <v>764932.95</v>
      </c>
      <c r="K22" s="529">
        <f t="shared" si="37"/>
        <v>811042.07</v>
      </c>
      <c r="L22" s="529">
        <f t="shared" si="37"/>
        <v>811042.07</v>
      </c>
      <c r="M22" s="529">
        <f t="shared" si="37"/>
        <v>811042.07</v>
      </c>
      <c r="N22" s="529">
        <f t="shared" si="37"/>
        <v>811042.07</v>
      </c>
      <c r="O22" s="567">
        <f t="shared" si="37"/>
        <v>8807823.6799999997</v>
      </c>
    </row>
    <row r="23" spans="1:15" s="459" customFormat="1" x14ac:dyDescent="0.2">
      <c r="B23" s="473" t="s">
        <v>391</v>
      </c>
      <c r="C23" s="521"/>
      <c r="D23" s="521"/>
      <c r="E23" s="522"/>
      <c r="F23" s="521"/>
      <c r="G23" s="521"/>
      <c r="H23" s="521"/>
      <c r="I23" s="521"/>
      <c r="J23" s="522"/>
      <c r="K23" s="521"/>
      <c r="L23" s="521"/>
      <c r="M23" s="521"/>
      <c r="N23" s="521"/>
      <c r="O23" s="523"/>
    </row>
    <row r="24" spans="1:15" s="14" customFormat="1" collapsed="1" x14ac:dyDescent="0.2">
      <c r="B24" s="480" t="s">
        <v>385</v>
      </c>
      <c r="C24" s="531">
        <f>SUM(C25:C30)</f>
        <v>129461.36290909091</v>
      </c>
      <c r="D24" s="531">
        <f t="shared" ref="D24:O24" si="38">SUM(D25:D30)</f>
        <v>129461.36290909091</v>
      </c>
      <c r="E24" s="532">
        <f t="shared" si="38"/>
        <v>129461.36290909091</v>
      </c>
      <c r="F24" s="531">
        <f t="shared" si="38"/>
        <v>181302.5245661519</v>
      </c>
      <c r="G24" s="531">
        <f t="shared" si="38"/>
        <v>181302.5245661519</v>
      </c>
      <c r="H24" s="531">
        <f t="shared" si="38"/>
        <v>181302.5245661519</v>
      </c>
      <c r="I24" s="531">
        <f t="shared" si="38"/>
        <v>181302.5245661519</v>
      </c>
      <c r="J24" s="532">
        <f t="shared" si="38"/>
        <v>181302.5245661519</v>
      </c>
      <c r="K24" s="531">
        <f t="shared" si="38"/>
        <v>223464.02032918629</v>
      </c>
      <c r="L24" s="531">
        <f t="shared" si="38"/>
        <v>223464.02032918629</v>
      </c>
      <c r="M24" s="531">
        <f t="shared" si="38"/>
        <v>223464.02032918629</v>
      </c>
      <c r="N24" s="531">
        <f t="shared" si="38"/>
        <v>223464.02032918629</v>
      </c>
      <c r="O24" s="533">
        <f t="shared" si="38"/>
        <v>2188752.7928747772</v>
      </c>
    </row>
    <row r="25" spans="1:15" s="471" customFormat="1" ht="12" hidden="1" outlineLevel="1" x14ac:dyDescent="0.2">
      <c r="A25" s="471" t="s">
        <v>396</v>
      </c>
      <c r="B25" s="478" t="s">
        <v>404</v>
      </c>
      <c r="C25" s="534">
        <f>'2014'!U67</f>
        <v>105229.8</v>
      </c>
      <c r="D25" s="534">
        <f t="shared" ref="D25" si="39">C25</f>
        <v>105229.8</v>
      </c>
      <c r="E25" s="535">
        <f t="shared" ref="E25" si="40">D25</f>
        <v>105229.8</v>
      </c>
      <c r="F25" s="534">
        <f>'2015-1'!U67</f>
        <v>151200</v>
      </c>
      <c r="G25" s="534">
        <f t="shared" ref="G25:J25" si="41">F25</f>
        <v>151200</v>
      </c>
      <c r="H25" s="534">
        <f t="shared" si="41"/>
        <v>151200</v>
      </c>
      <c r="I25" s="534">
        <f t="shared" si="41"/>
        <v>151200</v>
      </c>
      <c r="J25" s="535">
        <f t="shared" si="41"/>
        <v>151200</v>
      </c>
      <c r="K25" s="534">
        <f>'2015-2'!U67</f>
        <v>186000</v>
      </c>
      <c r="L25" s="534">
        <f t="shared" ref="L25:N25" si="42">K25</f>
        <v>186000</v>
      </c>
      <c r="M25" s="534">
        <f t="shared" si="42"/>
        <v>186000</v>
      </c>
      <c r="N25" s="534">
        <f t="shared" si="42"/>
        <v>186000</v>
      </c>
      <c r="O25" s="536">
        <f t="shared" ref="O25:O30" si="43">SUM(C25:N25)</f>
        <v>1815689.4</v>
      </c>
    </row>
    <row r="26" spans="1:15" s="471" customFormat="1" ht="12" hidden="1" outlineLevel="1" x14ac:dyDescent="0.2">
      <c r="A26" s="471" t="s">
        <v>394</v>
      </c>
      <c r="B26" s="478" t="s">
        <v>256</v>
      </c>
      <c r="C26" s="534">
        <f>'2014'!U33</f>
        <v>11133.163636363635</v>
      </c>
      <c r="D26" s="534">
        <f t="shared" ref="D26" si="44">C26</f>
        <v>11133.163636363635</v>
      </c>
      <c r="E26" s="535">
        <f t="shared" ref="E26" si="45">D26</f>
        <v>11133.163636363635</v>
      </c>
      <c r="F26" s="534">
        <f>'2015-1'!U33</f>
        <v>8760</v>
      </c>
      <c r="G26" s="534">
        <f t="shared" ref="G26:J26" si="46">F26</f>
        <v>8760</v>
      </c>
      <c r="H26" s="534">
        <f t="shared" si="46"/>
        <v>8760</v>
      </c>
      <c r="I26" s="534">
        <f t="shared" si="46"/>
        <v>8760</v>
      </c>
      <c r="J26" s="535">
        <f t="shared" si="46"/>
        <v>8760</v>
      </c>
      <c r="K26" s="534">
        <f>'2015-2'!U33</f>
        <v>10970.857142857143</v>
      </c>
      <c r="L26" s="534">
        <f t="shared" ref="L26:N26" si="47">K26</f>
        <v>10970.857142857143</v>
      </c>
      <c r="M26" s="534">
        <f t="shared" si="47"/>
        <v>10970.857142857143</v>
      </c>
      <c r="N26" s="534">
        <f t="shared" si="47"/>
        <v>10970.857142857143</v>
      </c>
      <c r="O26" s="536">
        <f t="shared" si="43"/>
        <v>121082.91948051949</v>
      </c>
    </row>
    <row r="27" spans="1:15" s="471" customFormat="1" ht="12" hidden="1" outlineLevel="1" x14ac:dyDescent="0.2">
      <c r="A27" s="471" t="s">
        <v>394</v>
      </c>
      <c r="B27" s="478" t="s">
        <v>255</v>
      </c>
      <c r="C27" s="534">
        <f>'2014'!U34</f>
        <v>3182.2292727272729</v>
      </c>
      <c r="D27" s="534">
        <f t="shared" ref="D27" si="48">C27</f>
        <v>3182.2292727272729</v>
      </c>
      <c r="E27" s="535">
        <f t="shared" ref="E27" si="49">D27</f>
        <v>3182.2292727272729</v>
      </c>
      <c r="F27" s="534">
        <f>'2015-1'!U34</f>
        <v>6517.5727272727272</v>
      </c>
      <c r="G27" s="534">
        <f t="shared" ref="G27:J27" si="50">F27</f>
        <v>6517.5727272727272</v>
      </c>
      <c r="H27" s="534">
        <f t="shared" si="50"/>
        <v>6517.5727272727272</v>
      </c>
      <c r="I27" s="534">
        <f t="shared" si="50"/>
        <v>6517.5727272727272</v>
      </c>
      <c r="J27" s="535">
        <f t="shared" si="50"/>
        <v>6517.5727272727272</v>
      </c>
      <c r="K27" s="534">
        <f>'2015-2'!U34</f>
        <v>8162.4839393939383</v>
      </c>
      <c r="L27" s="534">
        <f t="shared" ref="L27:N27" si="51">K27</f>
        <v>8162.4839393939383</v>
      </c>
      <c r="M27" s="534">
        <f t="shared" si="51"/>
        <v>8162.4839393939383</v>
      </c>
      <c r="N27" s="534">
        <f t="shared" si="51"/>
        <v>8162.4839393939383</v>
      </c>
      <c r="O27" s="536">
        <f t="shared" si="43"/>
        <v>74784.487212121196</v>
      </c>
    </row>
    <row r="28" spans="1:15" s="471" customFormat="1" ht="12" hidden="1" outlineLevel="1" x14ac:dyDescent="0.2">
      <c r="A28" s="471" t="s">
        <v>395</v>
      </c>
      <c r="B28" s="478" t="s">
        <v>334</v>
      </c>
      <c r="C28" s="534">
        <f>'2014'!U64</f>
        <v>4718.2499999999991</v>
      </c>
      <c r="D28" s="534">
        <f t="shared" ref="D28" si="52">C28</f>
        <v>4718.2499999999991</v>
      </c>
      <c r="E28" s="535">
        <f t="shared" ref="E28" si="53">D28</f>
        <v>4718.2499999999991</v>
      </c>
      <c r="F28" s="534">
        <f>'2015-1'!U64</f>
        <v>7087.5</v>
      </c>
      <c r="G28" s="534">
        <f t="shared" ref="G28:J28" si="54">F28</f>
        <v>7087.5</v>
      </c>
      <c r="H28" s="534">
        <f t="shared" si="54"/>
        <v>7087.5</v>
      </c>
      <c r="I28" s="534">
        <f t="shared" si="54"/>
        <v>7087.5</v>
      </c>
      <c r="J28" s="535">
        <f t="shared" si="54"/>
        <v>7087.5</v>
      </c>
      <c r="K28" s="534">
        <f>'2015-2'!U64</f>
        <v>8876.25</v>
      </c>
      <c r="L28" s="534">
        <f t="shared" ref="L28:N28" si="55">K28</f>
        <v>8876.25</v>
      </c>
      <c r="M28" s="534">
        <f t="shared" si="55"/>
        <v>8876.25</v>
      </c>
      <c r="N28" s="534">
        <f t="shared" si="55"/>
        <v>8876.25</v>
      </c>
      <c r="O28" s="536">
        <f t="shared" si="43"/>
        <v>85097.25</v>
      </c>
    </row>
    <row r="29" spans="1:15" s="471" customFormat="1" ht="12" hidden="1" outlineLevel="1" x14ac:dyDescent="0.2">
      <c r="A29" s="471" t="s">
        <v>397</v>
      </c>
      <c r="B29" s="478" t="s">
        <v>334</v>
      </c>
      <c r="C29" s="534">
        <f>'2014'!U74</f>
        <v>3774.6</v>
      </c>
      <c r="D29" s="534">
        <f t="shared" ref="D29" si="56">C29</f>
        <v>3774.6</v>
      </c>
      <c r="E29" s="535">
        <f t="shared" ref="E29" si="57">D29</f>
        <v>3774.6</v>
      </c>
      <c r="F29" s="534">
        <f>'2015-1'!U74*('2015-1'!$C$70+'2015-1'!$C$79+'2015-1'!$I$70+'2015-1'!$I$79)/('2015-1'!$C$70+'2015-1'!$I$70)</f>
        <v>5968.8914185639233</v>
      </c>
      <c r="G29" s="534">
        <f t="shared" ref="G29:J29" si="58">F29</f>
        <v>5968.8914185639233</v>
      </c>
      <c r="H29" s="534">
        <f t="shared" si="58"/>
        <v>5968.8914185639233</v>
      </c>
      <c r="I29" s="534">
        <f t="shared" si="58"/>
        <v>5968.8914185639233</v>
      </c>
      <c r="J29" s="535">
        <f t="shared" si="58"/>
        <v>5968.8914185639233</v>
      </c>
      <c r="K29" s="534">
        <f>'2015-2'!U74*('2015-2'!$C$70+'2015-2'!$C$79+'2015-2'!$I$70+'2015-2'!$I$79)/('2015-2'!$C$70+'2015-2'!$I$70)</f>
        <v>7475.3259194395796</v>
      </c>
      <c r="L29" s="534">
        <f t="shared" ref="L29:N29" si="59">K29</f>
        <v>7475.3259194395796</v>
      </c>
      <c r="M29" s="534">
        <f t="shared" si="59"/>
        <v>7475.3259194395796</v>
      </c>
      <c r="N29" s="534">
        <f t="shared" si="59"/>
        <v>7475.3259194395796</v>
      </c>
      <c r="O29" s="536">
        <f t="shared" si="43"/>
        <v>71069.560770577926</v>
      </c>
    </row>
    <row r="30" spans="1:15" s="471" customFormat="1" ht="12" hidden="1" outlineLevel="1" x14ac:dyDescent="0.2">
      <c r="A30" s="471" t="s">
        <v>397</v>
      </c>
      <c r="B30" s="478" t="s">
        <v>358</v>
      </c>
      <c r="C30" s="534">
        <f>'2014'!U75</f>
        <v>1423.3199999999997</v>
      </c>
      <c r="D30" s="534">
        <f t="shared" ref="D30" si="60">C30</f>
        <v>1423.3199999999997</v>
      </c>
      <c r="E30" s="535">
        <f t="shared" ref="E30" si="61">D30</f>
        <v>1423.3199999999997</v>
      </c>
      <c r="F30" s="534">
        <f>'2015-1'!U75*('2015-1'!$C$70+'2015-1'!$C$79+'2015-1'!$I$70+'2015-1'!$I$79)/('2015-1'!$C$70+'2015-1'!$I$70)</f>
        <v>1768.5604203152361</v>
      </c>
      <c r="G30" s="534">
        <f t="shared" ref="G30:J30" si="62">F30</f>
        <v>1768.5604203152361</v>
      </c>
      <c r="H30" s="534">
        <f t="shared" si="62"/>
        <v>1768.5604203152361</v>
      </c>
      <c r="I30" s="534">
        <f t="shared" si="62"/>
        <v>1768.5604203152361</v>
      </c>
      <c r="J30" s="535">
        <f t="shared" si="62"/>
        <v>1768.5604203152361</v>
      </c>
      <c r="K30" s="534">
        <f>'2015-2'!U75*('2015-2'!$C$70+'2015-2'!$C$79+'2015-2'!$I$70+'2015-2'!$I$79)/('2015-2'!$C$70+'2015-2'!$I$70)</f>
        <v>1979.1033274956214</v>
      </c>
      <c r="L30" s="534">
        <f t="shared" ref="L30:N30" si="63">K30</f>
        <v>1979.1033274956214</v>
      </c>
      <c r="M30" s="534">
        <f t="shared" si="63"/>
        <v>1979.1033274956214</v>
      </c>
      <c r="N30" s="534">
        <f t="shared" si="63"/>
        <v>1979.1033274956214</v>
      </c>
      <c r="O30" s="536">
        <f t="shared" si="43"/>
        <v>21029.175411558663</v>
      </c>
    </row>
    <row r="31" spans="1:15" s="14" customFormat="1" collapsed="1" x14ac:dyDescent="0.2">
      <c r="B31" s="480" t="s">
        <v>399</v>
      </c>
      <c r="C31" s="531">
        <f>+C32+C33</f>
        <v>78232.150003793329</v>
      </c>
      <c r="D31" s="531">
        <f t="shared" ref="D31:O31" si="64">+D32+D33</f>
        <v>78232.150003793329</v>
      </c>
      <c r="E31" s="532">
        <f t="shared" si="64"/>
        <v>78232.150003793329</v>
      </c>
      <c r="F31" s="531">
        <f t="shared" si="64"/>
        <v>181079.90945820001</v>
      </c>
      <c r="G31" s="531">
        <f t="shared" si="64"/>
        <v>181079.90945820001</v>
      </c>
      <c r="H31" s="531">
        <f t="shared" si="64"/>
        <v>181079.90945820001</v>
      </c>
      <c r="I31" s="531">
        <f t="shared" si="64"/>
        <v>181079.90945820001</v>
      </c>
      <c r="J31" s="532">
        <f t="shared" si="64"/>
        <v>181079.90945820001</v>
      </c>
      <c r="K31" s="531">
        <f t="shared" si="64"/>
        <v>179291.1595527</v>
      </c>
      <c r="L31" s="531">
        <f t="shared" si="64"/>
        <v>179291.1595527</v>
      </c>
      <c r="M31" s="531">
        <f t="shared" si="64"/>
        <v>179291.1595527</v>
      </c>
      <c r="N31" s="531">
        <f t="shared" si="64"/>
        <v>179291.1595527</v>
      </c>
      <c r="O31" s="533">
        <f t="shared" si="64"/>
        <v>1857260.6355131802</v>
      </c>
    </row>
    <row r="32" spans="1:15" s="469" customFormat="1" ht="12" hidden="1" outlineLevel="1" x14ac:dyDescent="0.2">
      <c r="A32" s="469" t="s">
        <v>395</v>
      </c>
      <c r="B32" s="479" t="s">
        <v>324</v>
      </c>
      <c r="C32" s="537">
        <f>'2014'!U58</f>
        <v>78232.150003793329</v>
      </c>
      <c r="D32" s="537">
        <f t="shared" ref="D32" si="65">C32</f>
        <v>78232.150003793329</v>
      </c>
      <c r="E32" s="538">
        <f t="shared" ref="E32" si="66">D32</f>
        <v>78232.150003793329</v>
      </c>
      <c r="F32" s="537">
        <f>'2015-1'!U58</f>
        <v>176017.95125820002</v>
      </c>
      <c r="G32" s="537">
        <f t="shared" ref="G32:J32" si="67">F32</f>
        <v>176017.95125820002</v>
      </c>
      <c r="H32" s="537">
        <f t="shared" si="67"/>
        <v>176017.95125820002</v>
      </c>
      <c r="I32" s="537">
        <f t="shared" si="67"/>
        <v>176017.95125820002</v>
      </c>
      <c r="J32" s="538">
        <f t="shared" si="67"/>
        <v>176017.95125820002</v>
      </c>
      <c r="K32" s="537">
        <f>'2015-2'!U58</f>
        <v>174229.20135270001</v>
      </c>
      <c r="L32" s="537">
        <f t="shared" ref="L32:N32" si="68">K32</f>
        <v>174229.20135270001</v>
      </c>
      <c r="M32" s="537">
        <f t="shared" si="68"/>
        <v>174229.20135270001</v>
      </c>
      <c r="N32" s="537">
        <f t="shared" si="68"/>
        <v>174229.20135270001</v>
      </c>
      <c r="O32" s="539">
        <f>SUM(C32:N32)</f>
        <v>1811703.0117131802</v>
      </c>
    </row>
    <row r="33" spans="1:17" s="469" customFormat="1" ht="12" hidden="1" outlineLevel="1" x14ac:dyDescent="0.2">
      <c r="A33" s="469" t="s">
        <v>398</v>
      </c>
      <c r="B33" s="479" t="s">
        <v>359</v>
      </c>
      <c r="C33" s="537">
        <f>'2014'!U85</f>
        <v>0</v>
      </c>
      <c r="D33" s="537">
        <f t="shared" ref="D33" si="69">C33</f>
        <v>0</v>
      </c>
      <c r="E33" s="538">
        <f t="shared" ref="E33" si="70">D33</f>
        <v>0</v>
      </c>
      <c r="F33" s="537">
        <f>'2015-1'!U85</f>
        <v>5061.9582</v>
      </c>
      <c r="G33" s="537">
        <f t="shared" ref="G33:J33" si="71">F33</f>
        <v>5061.9582</v>
      </c>
      <c r="H33" s="537">
        <f t="shared" si="71"/>
        <v>5061.9582</v>
      </c>
      <c r="I33" s="537">
        <f t="shared" si="71"/>
        <v>5061.9582</v>
      </c>
      <c r="J33" s="538">
        <f t="shared" si="71"/>
        <v>5061.9582</v>
      </c>
      <c r="K33" s="537">
        <f>'2015-2'!U85</f>
        <v>5061.9582</v>
      </c>
      <c r="L33" s="537">
        <f t="shared" ref="L33:N33" si="72">K33</f>
        <v>5061.9582</v>
      </c>
      <c r="M33" s="537">
        <f t="shared" si="72"/>
        <v>5061.9582</v>
      </c>
      <c r="N33" s="537">
        <f t="shared" si="72"/>
        <v>5061.9582</v>
      </c>
      <c r="O33" s="539">
        <f>SUM(C33:N33)</f>
        <v>45557.623800000001</v>
      </c>
    </row>
    <row r="34" spans="1:17" s="14" customFormat="1" collapsed="1" x14ac:dyDescent="0.2">
      <c r="B34" s="480" t="s">
        <v>417</v>
      </c>
      <c r="C34" s="531">
        <f>C35+C36</f>
        <v>118352.5518</v>
      </c>
      <c r="D34" s="531">
        <f t="shared" ref="D34:E34" si="73">C34</f>
        <v>118352.5518</v>
      </c>
      <c r="E34" s="532">
        <f t="shared" si="73"/>
        <v>118352.5518</v>
      </c>
      <c r="F34" s="531">
        <f>F35+F36</f>
        <v>128215.26445</v>
      </c>
      <c r="G34" s="531">
        <f t="shared" ref="G34:J34" si="74">F34</f>
        <v>128215.26445</v>
      </c>
      <c r="H34" s="531">
        <f t="shared" si="74"/>
        <v>128215.26445</v>
      </c>
      <c r="I34" s="531">
        <f t="shared" si="74"/>
        <v>128215.26445</v>
      </c>
      <c r="J34" s="532">
        <f t="shared" si="74"/>
        <v>128215.26445</v>
      </c>
      <c r="K34" s="531">
        <f>K35+K36</f>
        <v>128215.26445</v>
      </c>
      <c r="L34" s="531">
        <f t="shared" ref="L34:N34" si="75">K34</f>
        <v>128215.26445</v>
      </c>
      <c r="M34" s="531">
        <f t="shared" si="75"/>
        <v>128215.26445</v>
      </c>
      <c r="N34" s="531">
        <f t="shared" si="75"/>
        <v>128215.26445</v>
      </c>
      <c r="O34" s="533">
        <f t="shared" ref="O34" si="76">SUM(C34:N34)</f>
        <v>1508995.0354499996</v>
      </c>
    </row>
    <row r="35" spans="1:17" s="469" customFormat="1" ht="12" hidden="1" outlineLevel="1" x14ac:dyDescent="0.2">
      <c r="B35" s="479" t="s">
        <v>392</v>
      </c>
      <c r="C35" s="537">
        <f>'2014'!E13</f>
        <v>69654.677960000001</v>
      </c>
      <c r="D35" s="537">
        <f t="shared" ref="D35" si="77">C35</f>
        <v>69654.677960000001</v>
      </c>
      <c r="E35" s="538">
        <f t="shared" ref="E35" si="78">D35</f>
        <v>69654.677960000001</v>
      </c>
      <c r="F35" s="537">
        <f>'2015-1'!E13</f>
        <v>75408.612066666668</v>
      </c>
      <c r="G35" s="537">
        <f t="shared" ref="G35:J35" si="79">F35</f>
        <v>75408.612066666668</v>
      </c>
      <c r="H35" s="537">
        <f t="shared" si="79"/>
        <v>75408.612066666668</v>
      </c>
      <c r="I35" s="537">
        <f t="shared" si="79"/>
        <v>75408.612066666668</v>
      </c>
      <c r="J35" s="538">
        <f t="shared" si="79"/>
        <v>75408.612066666668</v>
      </c>
      <c r="K35" s="537">
        <f>'2015-2'!E13</f>
        <v>75408.612066666668</v>
      </c>
      <c r="L35" s="537">
        <f t="shared" ref="L35:N35" si="80">K35</f>
        <v>75408.612066666668</v>
      </c>
      <c r="M35" s="537">
        <f t="shared" si="80"/>
        <v>75408.612066666668</v>
      </c>
      <c r="N35" s="537">
        <f t="shared" si="80"/>
        <v>75408.612066666668</v>
      </c>
      <c r="O35" s="539">
        <f>SUM(C35:N35)</f>
        <v>887641.54248000018</v>
      </c>
    </row>
    <row r="36" spans="1:17" s="469" customFormat="1" ht="12" hidden="1" outlineLevel="1" x14ac:dyDescent="0.2">
      <c r="B36" s="479" t="s">
        <v>393</v>
      </c>
      <c r="C36" s="537">
        <f>'2014'!F13</f>
        <v>48697.87384</v>
      </c>
      <c r="D36" s="537">
        <f t="shared" ref="D36" si="81">C36</f>
        <v>48697.87384</v>
      </c>
      <c r="E36" s="538">
        <f t="shared" ref="E36" si="82">D36</f>
        <v>48697.87384</v>
      </c>
      <c r="F36" s="537">
        <f>'2015-1'!F13</f>
        <v>52806.652383333334</v>
      </c>
      <c r="G36" s="537">
        <f t="shared" ref="G36:J36" si="83">F36</f>
        <v>52806.652383333334</v>
      </c>
      <c r="H36" s="537">
        <f t="shared" si="83"/>
        <v>52806.652383333334</v>
      </c>
      <c r="I36" s="537">
        <f t="shared" si="83"/>
        <v>52806.652383333334</v>
      </c>
      <c r="J36" s="538">
        <f t="shared" si="83"/>
        <v>52806.652383333334</v>
      </c>
      <c r="K36" s="537">
        <f>'2015-2'!F13</f>
        <v>52806.652383333334</v>
      </c>
      <c r="L36" s="537">
        <f t="shared" ref="L36:N36" si="84">K36</f>
        <v>52806.652383333334</v>
      </c>
      <c r="M36" s="537">
        <f t="shared" si="84"/>
        <v>52806.652383333334</v>
      </c>
      <c r="N36" s="537">
        <f t="shared" si="84"/>
        <v>52806.652383333334</v>
      </c>
      <c r="O36" s="539">
        <f>SUM(C36:N36)</f>
        <v>621353.49296999979</v>
      </c>
    </row>
    <row r="37" spans="1:17" s="14" customFormat="1" collapsed="1" x14ac:dyDescent="0.2">
      <c r="B37" s="480" t="s">
        <v>418</v>
      </c>
      <c r="C37" s="531">
        <f>+C38+C39+C40</f>
        <v>53032.882786243201</v>
      </c>
      <c r="D37" s="531">
        <f t="shared" ref="D37:O37" si="85">+D38+D39+D40</f>
        <v>53032.882786243201</v>
      </c>
      <c r="E37" s="532">
        <f t="shared" si="85"/>
        <v>53032.882786243201</v>
      </c>
      <c r="F37" s="531">
        <f t="shared" si="85"/>
        <v>55930.227931046415</v>
      </c>
      <c r="G37" s="531">
        <f t="shared" si="85"/>
        <v>55930.227931046415</v>
      </c>
      <c r="H37" s="531">
        <f t="shared" si="85"/>
        <v>55930.227931046415</v>
      </c>
      <c r="I37" s="531">
        <f t="shared" si="85"/>
        <v>55930.227931046415</v>
      </c>
      <c r="J37" s="532">
        <f t="shared" si="85"/>
        <v>55930.227931046415</v>
      </c>
      <c r="K37" s="531">
        <f t="shared" si="85"/>
        <v>60257.257518446131</v>
      </c>
      <c r="L37" s="531">
        <f t="shared" si="85"/>
        <v>60257.257518446131</v>
      </c>
      <c r="M37" s="531">
        <f t="shared" si="85"/>
        <v>60257.257518446131</v>
      </c>
      <c r="N37" s="531">
        <f t="shared" si="85"/>
        <v>60257.257518446131</v>
      </c>
      <c r="O37" s="533">
        <f t="shared" si="85"/>
        <v>679778.81808774627</v>
      </c>
      <c r="Q37" s="469"/>
    </row>
    <row r="38" spans="1:17" s="469" customFormat="1" ht="12" hidden="1" outlineLevel="1" x14ac:dyDescent="0.2">
      <c r="A38" s="469" t="s">
        <v>394</v>
      </c>
      <c r="B38" s="479" t="s">
        <v>350</v>
      </c>
      <c r="C38" s="537">
        <f>'2014'!U52</f>
        <v>50505.162786243207</v>
      </c>
      <c r="D38" s="537">
        <f t="shared" ref="D38" si="86">C38</f>
        <v>50505.162786243207</v>
      </c>
      <c r="E38" s="538">
        <f t="shared" ref="E38" si="87">D38</f>
        <v>50505.162786243207</v>
      </c>
      <c r="F38" s="537">
        <f>'2015-1'!U52</f>
        <v>46674.25444278022</v>
      </c>
      <c r="G38" s="537">
        <f t="shared" ref="G38:J38" si="88">F38</f>
        <v>46674.25444278022</v>
      </c>
      <c r="H38" s="537">
        <f t="shared" si="88"/>
        <v>46674.25444278022</v>
      </c>
      <c r="I38" s="537">
        <f t="shared" si="88"/>
        <v>46674.25444278022</v>
      </c>
      <c r="J38" s="538">
        <f t="shared" si="88"/>
        <v>46674.25444278022</v>
      </c>
      <c r="K38" s="537">
        <f>'2015-2'!U52</f>
        <v>52718.261438235975</v>
      </c>
      <c r="L38" s="537">
        <f t="shared" ref="L38:N38" si="89">K38</f>
        <v>52718.261438235975</v>
      </c>
      <c r="M38" s="537">
        <f t="shared" si="89"/>
        <v>52718.261438235975</v>
      </c>
      <c r="N38" s="537">
        <f t="shared" si="89"/>
        <v>52718.261438235975</v>
      </c>
      <c r="O38" s="539">
        <f t="shared" ref="O38:O44" si="90">SUM(C38:N38)</f>
        <v>595759.80632557464</v>
      </c>
    </row>
    <row r="39" spans="1:17" s="469" customFormat="1" ht="12" hidden="1" outlineLevel="1" x14ac:dyDescent="0.2">
      <c r="A39" s="469" t="s">
        <v>397</v>
      </c>
      <c r="B39" s="479" t="s">
        <v>350</v>
      </c>
      <c r="C39" s="537">
        <f>'2014'!U76</f>
        <v>2527.7199999999966</v>
      </c>
      <c r="D39" s="537">
        <f t="shared" ref="D39" si="91">C39</f>
        <v>2527.7199999999966</v>
      </c>
      <c r="E39" s="538">
        <f t="shared" ref="E39" si="92">D39</f>
        <v>2527.7199999999966</v>
      </c>
      <c r="F39" s="537">
        <f>'2015-1'!U76*('2015-1'!$C$70+'2015-1'!$C$79+'2015-1'!$I$70+'2015-1'!$I$79)/('2015-1'!$C$70+'2015-1'!$I$70)</f>
        <v>7608.6416882661952</v>
      </c>
      <c r="G39" s="537">
        <f t="shared" ref="G39:J39" si="93">F39</f>
        <v>7608.6416882661952</v>
      </c>
      <c r="H39" s="537">
        <f t="shared" si="93"/>
        <v>7608.6416882661952</v>
      </c>
      <c r="I39" s="537">
        <f t="shared" si="93"/>
        <v>7608.6416882661952</v>
      </c>
      <c r="J39" s="538">
        <f t="shared" si="93"/>
        <v>7608.6416882661952</v>
      </c>
      <c r="K39" s="537">
        <f>'2015-2'!U76*('2015-2'!$C$70+'2015-2'!$C$79+'2015-2'!$I$70+'2015-2'!$I$79)/('2015-2'!$C$70+'2015-2'!$I$70)</f>
        <v>5891.6642802101524</v>
      </c>
      <c r="L39" s="537">
        <f t="shared" ref="L39:N39" si="94">K39</f>
        <v>5891.6642802101524</v>
      </c>
      <c r="M39" s="537">
        <f t="shared" si="94"/>
        <v>5891.6642802101524</v>
      </c>
      <c r="N39" s="537">
        <f t="shared" si="94"/>
        <v>5891.6642802101524</v>
      </c>
      <c r="O39" s="539">
        <f t="shared" si="90"/>
        <v>69193.025562171591</v>
      </c>
    </row>
    <row r="40" spans="1:17" s="469" customFormat="1" ht="12" hidden="1" outlineLevel="1" x14ac:dyDescent="0.2">
      <c r="A40" s="469" t="s">
        <v>398</v>
      </c>
      <c r="B40" s="479" t="s">
        <v>350</v>
      </c>
      <c r="C40" s="537">
        <f>'2014'!U86</f>
        <v>0</v>
      </c>
      <c r="D40" s="537">
        <f t="shared" ref="D40" si="95">C40</f>
        <v>0</v>
      </c>
      <c r="E40" s="538">
        <f t="shared" ref="E40" si="96">D40</f>
        <v>0</v>
      </c>
      <c r="F40" s="537">
        <f>'2015-1'!U86</f>
        <v>1647.3317999999999</v>
      </c>
      <c r="G40" s="537">
        <f t="shared" ref="G40:J40" si="97">F40</f>
        <v>1647.3317999999999</v>
      </c>
      <c r="H40" s="537">
        <f t="shared" si="97"/>
        <v>1647.3317999999999</v>
      </c>
      <c r="I40" s="537">
        <f t="shared" si="97"/>
        <v>1647.3317999999999</v>
      </c>
      <c r="J40" s="538">
        <f t="shared" si="97"/>
        <v>1647.3317999999999</v>
      </c>
      <c r="K40" s="537">
        <f>'2015-2'!U86</f>
        <v>1647.3317999999999</v>
      </c>
      <c r="L40" s="537">
        <f t="shared" ref="L40:N40" si="98">K40</f>
        <v>1647.3317999999999</v>
      </c>
      <c r="M40" s="537">
        <f t="shared" si="98"/>
        <v>1647.3317999999999</v>
      </c>
      <c r="N40" s="537">
        <f t="shared" si="98"/>
        <v>1647.3317999999999</v>
      </c>
      <c r="O40" s="539">
        <f t="shared" si="90"/>
        <v>14825.986199999999</v>
      </c>
    </row>
    <row r="41" spans="1:17" s="14" customFormat="1" x14ac:dyDescent="0.2">
      <c r="B41" s="480" t="s">
        <v>411</v>
      </c>
      <c r="C41" s="531">
        <f>'2014'!U28</f>
        <v>50000</v>
      </c>
      <c r="D41" s="531">
        <f t="shared" ref="D41" si="99">C41</f>
        <v>50000</v>
      </c>
      <c r="E41" s="532">
        <f t="shared" ref="E41" si="100">D41</f>
        <v>50000</v>
      </c>
      <c r="F41" s="531">
        <f>'2015-1'!U28</f>
        <v>50000</v>
      </c>
      <c r="G41" s="531">
        <f t="shared" ref="G41:J41" si="101">F41</f>
        <v>50000</v>
      </c>
      <c r="H41" s="531">
        <f t="shared" si="101"/>
        <v>50000</v>
      </c>
      <c r="I41" s="531">
        <f t="shared" si="101"/>
        <v>50000</v>
      </c>
      <c r="J41" s="532">
        <f t="shared" si="101"/>
        <v>50000</v>
      </c>
      <c r="K41" s="531">
        <f>'2015-2'!U28</f>
        <v>50000</v>
      </c>
      <c r="L41" s="531">
        <f t="shared" ref="L41:N41" si="102">K41</f>
        <v>50000</v>
      </c>
      <c r="M41" s="531">
        <f t="shared" si="102"/>
        <v>50000</v>
      </c>
      <c r="N41" s="531">
        <f t="shared" si="102"/>
        <v>50000</v>
      </c>
      <c r="O41" s="533">
        <f t="shared" si="90"/>
        <v>600000</v>
      </c>
    </row>
    <row r="42" spans="1:17" s="14" customFormat="1" x14ac:dyDescent="0.2">
      <c r="A42" s="14" t="s">
        <v>394</v>
      </c>
      <c r="B42" s="480" t="s">
        <v>420</v>
      </c>
      <c r="C42" s="531">
        <f>'2014'!U51</f>
        <v>31672.734</v>
      </c>
      <c r="D42" s="531">
        <f t="shared" ref="D42" si="103">C42</f>
        <v>31672.734</v>
      </c>
      <c r="E42" s="532">
        <f t="shared" ref="E42" si="104">D42</f>
        <v>31672.734</v>
      </c>
      <c r="F42" s="531">
        <f>'2015-1'!U51</f>
        <v>38369.999200000006</v>
      </c>
      <c r="G42" s="531">
        <f t="shared" ref="G42:J42" si="105">F42</f>
        <v>38369.999200000006</v>
      </c>
      <c r="H42" s="531">
        <f t="shared" si="105"/>
        <v>38369.999200000006</v>
      </c>
      <c r="I42" s="531">
        <f t="shared" si="105"/>
        <v>38369.999200000006</v>
      </c>
      <c r="J42" s="532">
        <f t="shared" si="105"/>
        <v>38369.999200000006</v>
      </c>
      <c r="K42" s="531">
        <f>'2015-2'!U51</f>
        <v>39553.491199999997</v>
      </c>
      <c r="L42" s="531">
        <f t="shared" ref="L42:N42" si="106">K42</f>
        <v>39553.491199999997</v>
      </c>
      <c r="M42" s="531">
        <f t="shared" si="106"/>
        <v>39553.491199999997</v>
      </c>
      <c r="N42" s="531">
        <f t="shared" si="106"/>
        <v>39553.491199999997</v>
      </c>
      <c r="O42" s="533">
        <f t="shared" si="90"/>
        <v>445082.16280000005</v>
      </c>
    </row>
    <row r="43" spans="1:17" s="14" customFormat="1" x14ac:dyDescent="0.2">
      <c r="A43" s="14" t="s">
        <v>394</v>
      </c>
      <c r="B43" s="480" t="s">
        <v>350</v>
      </c>
      <c r="C43" s="531">
        <f>'2014'!U50</f>
        <v>24481</v>
      </c>
      <c r="D43" s="531">
        <f t="shared" ref="D43" si="107">C43</f>
        <v>24481</v>
      </c>
      <c r="E43" s="532">
        <f t="shared" ref="E43" si="108">D43</f>
        <v>24481</v>
      </c>
      <c r="F43" s="531">
        <f>'2015-1'!U50</f>
        <v>34407.682000000001</v>
      </c>
      <c r="G43" s="531">
        <f t="shared" ref="G43:J43" si="109">F43</f>
        <v>34407.682000000001</v>
      </c>
      <c r="H43" s="531">
        <f t="shared" si="109"/>
        <v>34407.682000000001</v>
      </c>
      <c r="I43" s="531">
        <f t="shared" si="109"/>
        <v>34407.682000000001</v>
      </c>
      <c r="J43" s="532">
        <f t="shared" si="109"/>
        <v>34407.682000000001</v>
      </c>
      <c r="K43" s="531">
        <f>'2015-2'!U50</f>
        <v>34633.536999999997</v>
      </c>
      <c r="L43" s="531">
        <f t="shared" ref="L43:N43" si="110">K43</f>
        <v>34633.536999999997</v>
      </c>
      <c r="M43" s="531">
        <f t="shared" si="110"/>
        <v>34633.536999999997</v>
      </c>
      <c r="N43" s="531">
        <f t="shared" si="110"/>
        <v>34633.536999999997</v>
      </c>
      <c r="O43" s="533">
        <f t="shared" si="90"/>
        <v>384015.55800000002</v>
      </c>
    </row>
    <row r="44" spans="1:17" s="14" customFormat="1" x14ac:dyDescent="0.2">
      <c r="A44" s="14" t="s">
        <v>397</v>
      </c>
      <c r="B44" s="480" t="s">
        <v>419</v>
      </c>
      <c r="C44" s="531">
        <f>'2014'!U70</f>
        <v>20418.96</v>
      </c>
      <c r="D44" s="531">
        <f t="shared" ref="D44" si="111">C44</f>
        <v>20418.96</v>
      </c>
      <c r="E44" s="532">
        <f t="shared" ref="E44" si="112">D44</f>
        <v>20418.96</v>
      </c>
      <c r="F44" s="531">
        <f>'2015-1'!U70*('2015-1'!$C$70+'2015-1'!$C$79+'2015-1'!$I$70+'2015-1'!$I$79)/('2015-1'!$C$70+'2015-1'!$I$70)</f>
        <v>21495.335999999999</v>
      </c>
      <c r="G44" s="531">
        <f t="shared" ref="G44:J44" si="113">F44</f>
        <v>21495.335999999999</v>
      </c>
      <c r="H44" s="531">
        <f t="shared" si="113"/>
        <v>21495.335999999999</v>
      </c>
      <c r="I44" s="531">
        <f t="shared" si="113"/>
        <v>21495.335999999999</v>
      </c>
      <c r="J44" s="532">
        <f t="shared" si="113"/>
        <v>21495.335999999999</v>
      </c>
      <c r="K44" s="531">
        <f>'2015-2'!U70*('2015-2'!$C$70+'2015-2'!$C$79+'2015-2'!$I$70+'2015-2'!$I$79)/('2015-2'!$C$70+'2015-2'!$I$70)</f>
        <v>21495.335999999999</v>
      </c>
      <c r="L44" s="531">
        <f t="shared" ref="L44:N44" si="114">K44</f>
        <v>21495.335999999999</v>
      </c>
      <c r="M44" s="531">
        <f t="shared" si="114"/>
        <v>21495.335999999999</v>
      </c>
      <c r="N44" s="531">
        <f t="shared" si="114"/>
        <v>21495.335999999999</v>
      </c>
      <c r="O44" s="533">
        <f t="shared" si="90"/>
        <v>254714.90400000004</v>
      </c>
    </row>
    <row r="45" spans="1:17" s="14" customFormat="1" collapsed="1" x14ac:dyDescent="0.2">
      <c r="B45" s="481" t="s">
        <v>400</v>
      </c>
      <c r="C45" s="531">
        <f>C46+C47</f>
        <v>16000</v>
      </c>
      <c r="D45" s="531">
        <f t="shared" ref="D45:O45" si="115">D46+D47</f>
        <v>16000</v>
      </c>
      <c r="E45" s="532">
        <f t="shared" si="115"/>
        <v>16000</v>
      </c>
      <c r="F45" s="531">
        <f t="shared" si="115"/>
        <v>16000</v>
      </c>
      <c r="G45" s="531">
        <f t="shared" si="115"/>
        <v>16000</v>
      </c>
      <c r="H45" s="531">
        <f t="shared" si="115"/>
        <v>16000</v>
      </c>
      <c r="I45" s="531">
        <f t="shared" si="115"/>
        <v>16000</v>
      </c>
      <c r="J45" s="532">
        <f t="shared" si="115"/>
        <v>16000</v>
      </c>
      <c r="K45" s="531">
        <f t="shared" si="115"/>
        <v>16000</v>
      </c>
      <c r="L45" s="531">
        <f t="shared" si="115"/>
        <v>16000</v>
      </c>
      <c r="M45" s="531">
        <f t="shared" si="115"/>
        <v>16000</v>
      </c>
      <c r="N45" s="531">
        <f t="shared" si="115"/>
        <v>16000</v>
      </c>
      <c r="O45" s="533">
        <f t="shared" si="115"/>
        <v>192000</v>
      </c>
    </row>
    <row r="46" spans="1:17" s="469" customFormat="1" ht="12" hidden="1" outlineLevel="1" x14ac:dyDescent="0.2">
      <c r="A46" s="469" t="s">
        <v>395</v>
      </c>
      <c r="B46" s="478" t="s">
        <v>328</v>
      </c>
      <c r="C46" s="537">
        <f>'2014'!U62</f>
        <v>8000.0000000000009</v>
      </c>
      <c r="D46" s="537">
        <f t="shared" ref="D46" si="116">C46</f>
        <v>8000.0000000000009</v>
      </c>
      <c r="E46" s="538">
        <f t="shared" ref="E46" si="117">D46</f>
        <v>8000.0000000000009</v>
      </c>
      <c r="F46" s="537">
        <f>'2015-1'!U62</f>
        <v>8000.0000000000009</v>
      </c>
      <c r="G46" s="537">
        <f t="shared" ref="G46:J46" si="118">F46</f>
        <v>8000.0000000000009</v>
      </c>
      <c r="H46" s="537">
        <f t="shared" si="118"/>
        <v>8000.0000000000009</v>
      </c>
      <c r="I46" s="537">
        <f t="shared" si="118"/>
        <v>8000.0000000000009</v>
      </c>
      <c r="J46" s="538">
        <f t="shared" si="118"/>
        <v>8000.0000000000009</v>
      </c>
      <c r="K46" s="537">
        <f>'2015-2'!U62</f>
        <v>8000.0000000000009</v>
      </c>
      <c r="L46" s="537">
        <f t="shared" ref="L46:N46" si="119">K46</f>
        <v>8000.0000000000009</v>
      </c>
      <c r="M46" s="537">
        <f t="shared" si="119"/>
        <v>8000.0000000000009</v>
      </c>
      <c r="N46" s="537">
        <f t="shared" si="119"/>
        <v>8000.0000000000009</v>
      </c>
      <c r="O46" s="539">
        <f>SUM(C46:N46)</f>
        <v>96000.000000000015</v>
      </c>
    </row>
    <row r="47" spans="1:17" s="469" customFormat="1" ht="12" hidden="1" outlineLevel="1" x14ac:dyDescent="0.2">
      <c r="A47" s="469" t="s">
        <v>394</v>
      </c>
      <c r="B47" s="479" t="s">
        <v>257</v>
      </c>
      <c r="C47" s="537">
        <f>'2014'!U39</f>
        <v>8000</v>
      </c>
      <c r="D47" s="537">
        <f t="shared" ref="D47" si="120">C47</f>
        <v>8000</v>
      </c>
      <c r="E47" s="538">
        <f t="shared" ref="E47" si="121">D47</f>
        <v>8000</v>
      </c>
      <c r="F47" s="537">
        <f>'2015-1'!U39</f>
        <v>8000</v>
      </c>
      <c r="G47" s="537">
        <f t="shared" ref="G47:J47" si="122">F47</f>
        <v>8000</v>
      </c>
      <c r="H47" s="537">
        <f t="shared" si="122"/>
        <v>8000</v>
      </c>
      <c r="I47" s="537">
        <f t="shared" si="122"/>
        <v>8000</v>
      </c>
      <c r="J47" s="538">
        <f t="shared" si="122"/>
        <v>8000</v>
      </c>
      <c r="K47" s="537">
        <f>'2015-2'!U39</f>
        <v>8000</v>
      </c>
      <c r="L47" s="537">
        <f t="shared" ref="L47:N47" si="123">K47</f>
        <v>8000</v>
      </c>
      <c r="M47" s="537">
        <f t="shared" si="123"/>
        <v>8000</v>
      </c>
      <c r="N47" s="537">
        <f t="shared" si="123"/>
        <v>8000</v>
      </c>
      <c r="O47" s="539">
        <f>SUM(C47:N47)</f>
        <v>96000</v>
      </c>
    </row>
    <row r="48" spans="1:17" s="14" customFormat="1" x14ac:dyDescent="0.2">
      <c r="A48" s="14" t="s">
        <v>394</v>
      </c>
      <c r="B48" s="480" t="s">
        <v>401</v>
      </c>
      <c r="C48" s="531">
        <f>'2014'!U32</f>
        <v>11200</v>
      </c>
      <c r="D48" s="531">
        <f t="shared" ref="D48" si="124">C48</f>
        <v>11200</v>
      </c>
      <c r="E48" s="532">
        <f t="shared" ref="E48" si="125">D48</f>
        <v>11200</v>
      </c>
      <c r="F48" s="531">
        <f>'2015-1'!U32</f>
        <v>11580</v>
      </c>
      <c r="G48" s="531">
        <f t="shared" ref="G48:J48" si="126">F48</f>
        <v>11580</v>
      </c>
      <c r="H48" s="531">
        <f t="shared" si="126"/>
        <v>11580</v>
      </c>
      <c r="I48" s="531">
        <f t="shared" si="126"/>
        <v>11580</v>
      </c>
      <c r="J48" s="532">
        <f t="shared" si="126"/>
        <v>11580</v>
      </c>
      <c r="K48" s="531">
        <f>'2015-2'!U32</f>
        <v>11580</v>
      </c>
      <c r="L48" s="531">
        <f t="shared" ref="L48:N48" si="127">K48</f>
        <v>11580</v>
      </c>
      <c r="M48" s="531">
        <f t="shared" si="127"/>
        <v>11580</v>
      </c>
      <c r="N48" s="531">
        <f t="shared" si="127"/>
        <v>11580</v>
      </c>
      <c r="O48" s="533">
        <f>SUM(C48:N48)</f>
        <v>137820</v>
      </c>
    </row>
    <row r="49" spans="1:15" s="14" customFormat="1" x14ac:dyDescent="0.2">
      <c r="A49" s="14" t="s">
        <v>394</v>
      </c>
      <c r="B49" s="480" t="s">
        <v>402</v>
      </c>
      <c r="C49" s="531">
        <f>'2014'!U31</f>
        <v>9400</v>
      </c>
      <c r="D49" s="531">
        <f t="shared" ref="D49" si="128">C49</f>
        <v>9400</v>
      </c>
      <c r="E49" s="532">
        <f t="shared" ref="E49" si="129">D49</f>
        <v>9400</v>
      </c>
      <c r="F49" s="531">
        <f>'2015-1'!U31</f>
        <v>13010</v>
      </c>
      <c r="G49" s="531">
        <f t="shared" ref="G49:J49" si="130">F49</f>
        <v>13010</v>
      </c>
      <c r="H49" s="531">
        <f t="shared" si="130"/>
        <v>13010</v>
      </c>
      <c r="I49" s="531">
        <f t="shared" si="130"/>
        <v>13010</v>
      </c>
      <c r="J49" s="532">
        <f t="shared" si="130"/>
        <v>13010</v>
      </c>
      <c r="K49" s="531">
        <f>'2015-2'!U31</f>
        <v>13010</v>
      </c>
      <c r="L49" s="531">
        <f t="shared" ref="L49:N49" si="131">K49</f>
        <v>13010</v>
      </c>
      <c r="M49" s="531">
        <f t="shared" si="131"/>
        <v>13010</v>
      </c>
      <c r="N49" s="531">
        <f t="shared" si="131"/>
        <v>13010</v>
      </c>
      <c r="O49" s="533">
        <f t="shared" ref="O49:O71" si="132">SUM(C49:N49)</f>
        <v>145290</v>
      </c>
    </row>
    <row r="50" spans="1:15" s="14" customFormat="1" x14ac:dyDescent="0.2">
      <c r="A50" s="14" t="s">
        <v>395</v>
      </c>
      <c r="B50" s="480" t="s">
        <v>421</v>
      </c>
      <c r="C50" s="531">
        <f>'2014'!U59</f>
        <v>6945.9999999999991</v>
      </c>
      <c r="D50" s="531">
        <f t="shared" ref="D50" si="133">C50</f>
        <v>6945.9999999999991</v>
      </c>
      <c r="E50" s="532">
        <f t="shared" ref="E50" si="134">D50</f>
        <v>6945.9999999999991</v>
      </c>
      <c r="F50" s="531">
        <f>'2015-1'!U59</f>
        <v>6946</v>
      </c>
      <c r="G50" s="531">
        <f t="shared" ref="G50:J50" si="135">F50</f>
        <v>6946</v>
      </c>
      <c r="H50" s="531">
        <f t="shared" si="135"/>
        <v>6946</v>
      </c>
      <c r="I50" s="531">
        <f t="shared" si="135"/>
        <v>6946</v>
      </c>
      <c r="J50" s="532">
        <f t="shared" si="135"/>
        <v>6946</v>
      </c>
      <c r="K50" s="531">
        <f>'2015-2'!U59</f>
        <v>6946</v>
      </c>
      <c r="L50" s="531">
        <f t="shared" ref="L50:N50" si="136">K50</f>
        <v>6946</v>
      </c>
      <c r="M50" s="531">
        <f t="shared" si="136"/>
        <v>6946</v>
      </c>
      <c r="N50" s="531">
        <f t="shared" si="136"/>
        <v>6946</v>
      </c>
      <c r="O50" s="533">
        <f t="shared" ref="O50:O58" si="137">SUM(C50:N50)</f>
        <v>83352</v>
      </c>
    </row>
    <row r="51" spans="1:15" s="14" customFormat="1" x14ac:dyDescent="0.2">
      <c r="A51" s="14" t="s">
        <v>397</v>
      </c>
      <c r="B51" s="480" t="s">
        <v>403</v>
      </c>
      <c r="C51" s="531">
        <f>'2014'!U71</f>
        <v>5000</v>
      </c>
      <c r="D51" s="531">
        <f t="shared" ref="D51" si="138">C51</f>
        <v>5000</v>
      </c>
      <c r="E51" s="532">
        <f t="shared" ref="E51" si="139">D51</f>
        <v>5000</v>
      </c>
      <c r="F51" s="531">
        <f>'2015-1'!U71*('2015-1'!$C$70+'2015-1'!$C$79+'2015-1'!$I$70+'2015-1'!$I$79)/('2015-1'!$C$70+'2015-1'!$I$70)</f>
        <v>5263.5726795096325</v>
      </c>
      <c r="G51" s="531">
        <f t="shared" ref="G51:J51" si="140">F51</f>
        <v>5263.5726795096325</v>
      </c>
      <c r="H51" s="531">
        <f t="shared" si="140"/>
        <v>5263.5726795096325</v>
      </c>
      <c r="I51" s="531">
        <f t="shared" si="140"/>
        <v>5263.5726795096325</v>
      </c>
      <c r="J51" s="532">
        <f t="shared" si="140"/>
        <v>5263.5726795096325</v>
      </c>
      <c r="K51" s="531">
        <f>'2015-2'!U71*('2015-2'!$C$70+'2015-2'!$C$79+'2015-2'!$I$70+'2015-2'!$I$79)/('2015-2'!$C$70+'2015-2'!$I$70)</f>
        <v>5263.5726795096325</v>
      </c>
      <c r="L51" s="531">
        <f t="shared" ref="L51:N51" si="141">K51</f>
        <v>5263.5726795096325</v>
      </c>
      <c r="M51" s="531">
        <f t="shared" si="141"/>
        <v>5263.5726795096325</v>
      </c>
      <c r="N51" s="531">
        <f t="shared" si="141"/>
        <v>5263.5726795096325</v>
      </c>
      <c r="O51" s="533">
        <f t="shared" si="137"/>
        <v>62372.154115586709</v>
      </c>
    </row>
    <row r="52" spans="1:15" s="14" customFormat="1" x14ac:dyDescent="0.2">
      <c r="A52" s="14" t="s">
        <v>394</v>
      </c>
      <c r="B52" s="480" t="s">
        <v>405</v>
      </c>
      <c r="C52" s="531">
        <f>'2014'!U46</f>
        <v>5000</v>
      </c>
      <c r="D52" s="531">
        <f t="shared" ref="D52" si="142">C52</f>
        <v>5000</v>
      </c>
      <c r="E52" s="532">
        <f t="shared" ref="E52" si="143">D52</f>
        <v>5000</v>
      </c>
      <c r="F52" s="531">
        <f>'2015-1'!U46</f>
        <v>5000</v>
      </c>
      <c r="G52" s="531">
        <f t="shared" ref="G52:J52" si="144">F52</f>
        <v>5000</v>
      </c>
      <c r="H52" s="531">
        <f t="shared" si="144"/>
        <v>5000</v>
      </c>
      <c r="I52" s="531">
        <f t="shared" si="144"/>
        <v>5000</v>
      </c>
      <c r="J52" s="532">
        <f t="shared" si="144"/>
        <v>5000</v>
      </c>
      <c r="K52" s="531">
        <f>'2015-2'!U46</f>
        <v>5000</v>
      </c>
      <c r="L52" s="531">
        <f t="shared" ref="L52:N52" si="145">K52</f>
        <v>5000</v>
      </c>
      <c r="M52" s="531">
        <f t="shared" si="145"/>
        <v>5000</v>
      </c>
      <c r="N52" s="531">
        <f t="shared" si="145"/>
        <v>5000</v>
      </c>
      <c r="O52" s="533">
        <f t="shared" si="137"/>
        <v>60000</v>
      </c>
    </row>
    <row r="53" spans="1:15" s="14" customFormat="1" x14ac:dyDescent="0.2">
      <c r="A53" s="14" t="s">
        <v>395</v>
      </c>
      <c r="B53" s="480" t="s">
        <v>407</v>
      </c>
      <c r="C53" s="531">
        <f>'2014'!U60</f>
        <v>3333.3333333333339</v>
      </c>
      <c r="D53" s="531">
        <f t="shared" ref="D53" si="146">C53</f>
        <v>3333.3333333333339</v>
      </c>
      <c r="E53" s="532">
        <f t="shared" ref="E53" si="147">D53</f>
        <v>3333.3333333333339</v>
      </c>
      <c r="F53" s="531">
        <f>'2015-1'!U60</f>
        <v>974.8</v>
      </c>
      <c r="G53" s="531">
        <f t="shared" ref="G53:J53" si="148">F53</f>
        <v>974.8</v>
      </c>
      <c r="H53" s="531">
        <f t="shared" si="148"/>
        <v>974.8</v>
      </c>
      <c r="I53" s="531">
        <f t="shared" si="148"/>
        <v>974.8</v>
      </c>
      <c r="J53" s="532">
        <f t="shared" si="148"/>
        <v>974.8</v>
      </c>
      <c r="K53" s="531">
        <f>'2015-2'!U60</f>
        <v>974.8</v>
      </c>
      <c r="L53" s="531">
        <f t="shared" ref="L53:N53" si="149">K53</f>
        <v>974.8</v>
      </c>
      <c r="M53" s="531">
        <f t="shared" si="149"/>
        <v>974.8</v>
      </c>
      <c r="N53" s="531">
        <f t="shared" si="149"/>
        <v>974.8</v>
      </c>
      <c r="O53" s="533">
        <f t="shared" si="137"/>
        <v>18773.199999999997</v>
      </c>
    </row>
    <row r="54" spans="1:15" s="14" customFormat="1" x14ac:dyDescent="0.2">
      <c r="A54" s="14" t="s">
        <v>395</v>
      </c>
      <c r="B54" s="480" t="s">
        <v>422</v>
      </c>
      <c r="C54" s="531">
        <f>'2014'!U63</f>
        <v>2452.0766666666664</v>
      </c>
      <c r="D54" s="531">
        <f t="shared" ref="D54" si="150">C54</f>
        <v>2452.0766666666664</v>
      </c>
      <c r="E54" s="532">
        <f t="shared" ref="E54" si="151">D54</f>
        <v>2452.0766666666664</v>
      </c>
      <c r="F54" s="531">
        <f>'2015-1'!U63</f>
        <v>2452.0766666666664</v>
      </c>
      <c r="G54" s="531">
        <f t="shared" ref="G54:J54" si="152">F54</f>
        <v>2452.0766666666664</v>
      </c>
      <c r="H54" s="531">
        <f t="shared" si="152"/>
        <v>2452.0766666666664</v>
      </c>
      <c r="I54" s="531">
        <f t="shared" si="152"/>
        <v>2452.0766666666664</v>
      </c>
      <c r="J54" s="532">
        <f t="shared" si="152"/>
        <v>2452.0766666666664</v>
      </c>
      <c r="K54" s="531">
        <f>'2015-2'!U63</f>
        <v>2452.0766666666664</v>
      </c>
      <c r="L54" s="531">
        <f t="shared" ref="L54:N54" si="153">K54</f>
        <v>2452.0766666666664</v>
      </c>
      <c r="M54" s="531">
        <f t="shared" si="153"/>
        <v>2452.0766666666664</v>
      </c>
      <c r="N54" s="531">
        <f t="shared" si="153"/>
        <v>2452.0766666666664</v>
      </c>
      <c r="O54" s="533">
        <f t="shared" si="137"/>
        <v>29424.920000000002</v>
      </c>
    </row>
    <row r="55" spans="1:15" s="14" customFormat="1" x14ac:dyDescent="0.2">
      <c r="A55" s="14" t="s">
        <v>394</v>
      </c>
      <c r="B55" s="480" t="s">
        <v>423</v>
      </c>
      <c r="C55" s="531">
        <f>'2014'!U48</f>
        <v>1500</v>
      </c>
      <c r="D55" s="531">
        <f t="shared" ref="D55" si="154">C55</f>
        <v>1500</v>
      </c>
      <c r="E55" s="532">
        <f t="shared" ref="E55" si="155">D55</f>
        <v>1500</v>
      </c>
      <c r="F55" s="531">
        <f>'2015-1'!U48</f>
        <v>2500</v>
      </c>
      <c r="G55" s="531">
        <f t="shared" ref="G55:J55" si="156">F55</f>
        <v>2500</v>
      </c>
      <c r="H55" s="531">
        <f t="shared" si="156"/>
        <v>2500</v>
      </c>
      <c r="I55" s="531">
        <f t="shared" si="156"/>
        <v>2500</v>
      </c>
      <c r="J55" s="532">
        <f t="shared" si="156"/>
        <v>2500</v>
      </c>
      <c r="K55" s="531">
        <f>'2015-2'!U48</f>
        <v>2500</v>
      </c>
      <c r="L55" s="531">
        <f t="shared" ref="L55:N55" si="157">K55</f>
        <v>2500</v>
      </c>
      <c r="M55" s="531">
        <f t="shared" si="157"/>
        <v>2500</v>
      </c>
      <c r="N55" s="531">
        <f t="shared" si="157"/>
        <v>2500</v>
      </c>
      <c r="O55" s="533">
        <f t="shared" si="137"/>
        <v>27000</v>
      </c>
    </row>
    <row r="56" spans="1:15" s="14" customFormat="1" x14ac:dyDescent="0.2">
      <c r="A56" s="14" t="s">
        <v>394</v>
      </c>
      <c r="B56" s="480" t="s">
        <v>430</v>
      </c>
      <c r="C56" s="531">
        <f>'2014'!U40</f>
        <v>4000</v>
      </c>
      <c r="D56" s="531">
        <f t="shared" ref="D56" si="158">C56</f>
        <v>4000</v>
      </c>
      <c r="E56" s="532">
        <f t="shared" ref="E56" si="159">D56</f>
        <v>4000</v>
      </c>
      <c r="F56" s="531">
        <f>'2015-1'!U40</f>
        <v>1000</v>
      </c>
      <c r="G56" s="531">
        <f t="shared" ref="G56:J56" si="160">F56</f>
        <v>1000</v>
      </c>
      <c r="H56" s="531">
        <f t="shared" si="160"/>
        <v>1000</v>
      </c>
      <c r="I56" s="531">
        <f t="shared" si="160"/>
        <v>1000</v>
      </c>
      <c r="J56" s="532">
        <f t="shared" si="160"/>
        <v>1000</v>
      </c>
      <c r="K56" s="531">
        <f>'2015-2'!U40</f>
        <v>1000</v>
      </c>
      <c r="L56" s="531">
        <f t="shared" ref="L56:N56" si="161">K56</f>
        <v>1000</v>
      </c>
      <c r="M56" s="531">
        <f t="shared" si="161"/>
        <v>1000</v>
      </c>
      <c r="N56" s="531">
        <f t="shared" si="161"/>
        <v>1000</v>
      </c>
      <c r="O56" s="533">
        <f t="shared" si="137"/>
        <v>21000</v>
      </c>
    </row>
    <row r="57" spans="1:15" s="14" customFormat="1" x14ac:dyDescent="0.2">
      <c r="A57" s="14" t="s">
        <v>394</v>
      </c>
      <c r="B57" s="480" t="s">
        <v>431</v>
      </c>
      <c r="C57" s="531">
        <f>'2014'!U36</f>
        <v>1666.6666666666667</v>
      </c>
      <c r="D57" s="531">
        <f t="shared" ref="D57" si="162">C57</f>
        <v>1666.6666666666667</v>
      </c>
      <c r="E57" s="532">
        <f t="shared" ref="E57" si="163">D57</f>
        <v>1666.6666666666667</v>
      </c>
      <c r="F57" s="531">
        <f>'2015-1'!U36</f>
        <v>1666.6666666666667</v>
      </c>
      <c r="G57" s="531">
        <f t="shared" ref="G57:J57" si="164">F57</f>
        <v>1666.6666666666667</v>
      </c>
      <c r="H57" s="531">
        <f t="shared" si="164"/>
        <v>1666.6666666666667</v>
      </c>
      <c r="I57" s="531">
        <f t="shared" si="164"/>
        <v>1666.6666666666667</v>
      </c>
      <c r="J57" s="532">
        <f t="shared" si="164"/>
        <v>1666.6666666666667</v>
      </c>
      <c r="K57" s="531">
        <f>'2015-2'!U36</f>
        <v>1666.6666666666667</v>
      </c>
      <c r="L57" s="531">
        <f t="shared" ref="L57:N57" si="165">K57</f>
        <v>1666.6666666666667</v>
      </c>
      <c r="M57" s="531">
        <f t="shared" si="165"/>
        <v>1666.6666666666667</v>
      </c>
      <c r="N57" s="531">
        <f t="shared" si="165"/>
        <v>1666.6666666666667</v>
      </c>
      <c r="O57" s="533">
        <f t="shared" si="137"/>
        <v>20000</v>
      </c>
    </row>
    <row r="58" spans="1:15" s="14" customFormat="1" x14ac:dyDescent="0.2">
      <c r="A58" s="14" t="s">
        <v>397</v>
      </c>
      <c r="B58" s="480" t="s">
        <v>432</v>
      </c>
      <c r="C58" s="531">
        <f>'2014'!U73</f>
        <v>1600</v>
      </c>
      <c r="D58" s="531">
        <f t="shared" ref="D58:E59" si="166">C58</f>
        <v>1600</v>
      </c>
      <c r="E58" s="532">
        <f t="shared" ref="E58" si="167">D58</f>
        <v>1600</v>
      </c>
      <c r="F58" s="531">
        <f>'2015-1'!U73*('2015-1'!$C$70+'2015-1'!$C$79+'2015-1'!$I$70+'2015-1'!$I$79)/('2015-1'!$C$70+'2015-1'!$I$70)</f>
        <v>1684.3432574430824</v>
      </c>
      <c r="G58" s="531">
        <f t="shared" ref="G58:J59" si="168">F58</f>
        <v>1684.3432574430824</v>
      </c>
      <c r="H58" s="531">
        <f t="shared" si="168"/>
        <v>1684.3432574430824</v>
      </c>
      <c r="I58" s="531">
        <f t="shared" si="168"/>
        <v>1684.3432574430824</v>
      </c>
      <c r="J58" s="532">
        <f t="shared" si="168"/>
        <v>1684.3432574430824</v>
      </c>
      <c r="K58" s="531">
        <f>'2015-2'!U73*('2015-2'!$C$70+'2015-2'!$C$79+'2015-2'!$I$70+'2015-2'!$I$79)/('2015-2'!$C$70+'2015-2'!$I$70)</f>
        <v>1684.3432574430824</v>
      </c>
      <c r="L58" s="531">
        <f t="shared" ref="L58:N59" si="169">K58</f>
        <v>1684.3432574430824</v>
      </c>
      <c r="M58" s="531">
        <f t="shared" si="169"/>
        <v>1684.3432574430824</v>
      </c>
      <c r="N58" s="531">
        <f t="shared" si="169"/>
        <v>1684.3432574430824</v>
      </c>
      <c r="O58" s="533">
        <f t="shared" si="137"/>
        <v>19959.089316987738</v>
      </c>
    </row>
    <row r="59" spans="1:15" s="14" customFormat="1" collapsed="1" x14ac:dyDescent="0.2">
      <c r="B59" s="480" t="s">
        <v>433</v>
      </c>
      <c r="C59" s="531">
        <f>C60+C61</f>
        <v>1500</v>
      </c>
      <c r="D59" s="531">
        <f t="shared" si="166"/>
        <v>1500</v>
      </c>
      <c r="E59" s="532">
        <f t="shared" si="166"/>
        <v>1500</v>
      </c>
      <c r="F59" s="531">
        <f>F60+F61</f>
        <v>1500</v>
      </c>
      <c r="G59" s="531">
        <f t="shared" si="168"/>
        <v>1500</v>
      </c>
      <c r="H59" s="531">
        <f t="shared" si="168"/>
        <v>1500</v>
      </c>
      <c r="I59" s="531">
        <f t="shared" si="168"/>
        <v>1500</v>
      </c>
      <c r="J59" s="532">
        <f t="shared" si="168"/>
        <v>1500</v>
      </c>
      <c r="K59" s="531">
        <f>K60+K61</f>
        <v>1500</v>
      </c>
      <c r="L59" s="531">
        <f t="shared" si="169"/>
        <v>1500</v>
      </c>
      <c r="M59" s="531">
        <f t="shared" si="169"/>
        <v>1500</v>
      </c>
      <c r="N59" s="531">
        <f t="shared" si="169"/>
        <v>1500</v>
      </c>
      <c r="O59" s="533">
        <f t="shared" ref="O59" si="170">SUM(C59:N59)</f>
        <v>18000</v>
      </c>
    </row>
    <row r="60" spans="1:15" s="469" customFormat="1" ht="12" hidden="1" outlineLevel="1" x14ac:dyDescent="0.2">
      <c r="A60" s="469" t="s">
        <v>395</v>
      </c>
      <c r="B60" s="478" t="s">
        <v>327</v>
      </c>
      <c r="C60" s="537">
        <f>'2014'!U61</f>
        <v>1000.0000000000001</v>
      </c>
      <c r="D60" s="537">
        <f t="shared" ref="D60" si="171">C60</f>
        <v>1000.0000000000001</v>
      </c>
      <c r="E60" s="538">
        <f t="shared" ref="E60" si="172">D60</f>
        <v>1000.0000000000001</v>
      </c>
      <c r="F60" s="537">
        <f>'2015-1'!U61</f>
        <v>1000.0000000000001</v>
      </c>
      <c r="G60" s="537">
        <f t="shared" ref="G60:J60" si="173">F60</f>
        <v>1000.0000000000001</v>
      </c>
      <c r="H60" s="537">
        <f t="shared" si="173"/>
        <v>1000.0000000000001</v>
      </c>
      <c r="I60" s="537">
        <f t="shared" si="173"/>
        <v>1000.0000000000001</v>
      </c>
      <c r="J60" s="538">
        <f t="shared" si="173"/>
        <v>1000.0000000000001</v>
      </c>
      <c r="K60" s="537">
        <f>'2015-2'!U61</f>
        <v>1000.0000000000001</v>
      </c>
      <c r="L60" s="537">
        <f t="shared" ref="L60:N60" si="174">K60</f>
        <v>1000.0000000000001</v>
      </c>
      <c r="M60" s="537">
        <f t="shared" si="174"/>
        <v>1000.0000000000001</v>
      </c>
      <c r="N60" s="537">
        <f t="shared" si="174"/>
        <v>1000.0000000000001</v>
      </c>
      <c r="O60" s="539">
        <f>SUM(C60:N60)</f>
        <v>12000.000000000002</v>
      </c>
    </row>
    <row r="61" spans="1:15" s="469" customFormat="1" ht="12" hidden="1" outlineLevel="1" x14ac:dyDescent="0.2">
      <c r="A61" s="469" t="s">
        <v>394</v>
      </c>
      <c r="B61" s="478" t="s">
        <v>329</v>
      </c>
      <c r="C61" s="537">
        <f>'2014'!U35</f>
        <v>500</v>
      </c>
      <c r="D61" s="537">
        <f t="shared" ref="D61" si="175">C61</f>
        <v>500</v>
      </c>
      <c r="E61" s="538">
        <f t="shared" ref="E61" si="176">D61</f>
        <v>500</v>
      </c>
      <c r="F61" s="537">
        <f>'2015-1'!U35</f>
        <v>500</v>
      </c>
      <c r="G61" s="537">
        <f t="shared" ref="G61:J61" si="177">F61</f>
        <v>500</v>
      </c>
      <c r="H61" s="537">
        <f t="shared" si="177"/>
        <v>500</v>
      </c>
      <c r="I61" s="537">
        <f t="shared" si="177"/>
        <v>500</v>
      </c>
      <c r="J61" s="538">
        <f t="shared" si="177"/>
        <v>500</v>
      </c>
      <c r="K61" s="537">
        <f>'2015-2'!U35</f>
        <v>500</v>
      </c>
      <c r="L61" s="537">
        <f t="shared" ref="L61:N61" si="178">K61</f>
        <v>500</v>
      </c>
      <c r="M61" s="537">
        <f t="shared" si="178"/>
        <v>500</v>
      </c>
      <c r="N61" s="537">
        <f t="shared" si="178"/>
        <v>500</v>
      </c>
      <c r="O61" s="539">
        <f>SUM(C61:N61)</f>
        <v>6000</v>
      </c>
    </row>
    <row r="62" spans="1:15" s="14" customFormat="1" x14ac:dyDescent="0.2">
      <c r="A62" s="14" t="s">
        <v>397</v>
      </c>
      <c r="B62" s="480" t="s">
        <v>434</v>
      </c>
      <c r="C62" s="531">
        <f>'2014'!U72</f>
        <v>1000</v>
      </c>
      <c r="D62" s="531">
        <f t="shared" ref="D62" si="179">C62</f>
        <v>1000</v>
      </c>
      <c r="E62" s="532">
        <f t="shared" ref="E62" si="180">D62</f>
        <v>1000</v>
      </c>
      <c r="F62" s="531">
        <f>'2015-1'!U72*('2015-1'!$C$70+'2015-1'!$C$79+'2015-1'!$I$70+'2015-1'!$I$79)/('2015-1'!$C$70+'2015-1'!$I$70)</f>
        <v>1052.7145359019264</v>
      </c>
      <c r="G62" s="531">
        <f t="shared" ref="G62:J62" si="181">F62</f>
        <v>1052.7145359019264</v>
      </c>
      <c r="H62" s="531">
        <f t="shared" si="181"/>
        <v>1052.7145359019264</v>
      </c>
      <c r="I62" s="531">
        <f t="shared" si="181"/>
        <v>1052.7145359019264</v>
      </c>
      <c r="J62" s="532">
        <f t="shared" si="181"/>
        <v>1052.7145359019264</v>
      </c>
      <c r="K62" s="531">
        <f>'2015-2'!U72*('2015-2'!$C$70+'2015-2'!$C$79+'2015-2'!$I$70+'2015-2'!$I$79)/('2015-2'!$C$70+'2015-2'!$I$70)</f>
        <v>1052.7145359019264</v>
      </c>
      <c r="L62" s="531">
        <f t="shared" ref="L62:N62" si="182">K62</f>
        <v>1052.7145359019264</v>
      </c>
      <c r="M62" s="531">
        <f t="shared" si="182"/>
        <v>1052.7145359019264</v>
      </c>
      <c r="N62" s="531">
        <f t="shared" si="182"/>
        <v>1052.7145359019264</v>
      </c>
      <c r="O62" s="533">
        <f>SUM(C62:N62)</f>
        <v>12474.43082311734</v>
      </c>
    </row>
    <row r="63" spans="1:15" s="14" customFormat="1" x14ac:dyDescent="0.2">
      <c r="A63" s="14" t="s">
        <v>394</v>
      </c>
      <c r="B63" s="480" t="s">
        <v>342</v>
      </c>
      <c r="C63" s="531">
        <f>'2014'!U45</f>
        <v>900</v>
      </c>
      <c r="D63" s="531">
        <f t="shared" ref="D63" si="183">C63</f>
        <v>900</v>
      </c>
      <c r="E63" s="532">
        <f t="shared" ref="E63" si="184">D63</f>
        <v>900</v>
      </c>
      <c r="F63" s="531">
        <f>'2015-1'!U45</f>
        <v>1150</v>
      </c>
      <c r="G63" s="531">
        <f t="shared" ref="G63:J63" si="185">F63</f>
        <v>1150</v>
      </c>
      <c r="H63" s="531">
        <f t="shared" si="185"/>
        <v>1150</v>
      </c>
      <c r="I63" s="531">
        <f t="shared" si="185"/>
        <v>1150</v>
      </c>
      <c r="J63" s="532">
        <f t="shared" si="185"/>
        <v>1150</v>
      </c>
      <c r="K63" s="531">
        <f>'2015-2'!U45</f>
        <v>1150</v>
      </c>
      <c r="L63" s="531">
        <f t="shared" ref="L63:N63" si="186">K63</f>
        <v>1150</v>
      </c>
      <c r="M63" s="531">
        <f t="shared" si="186"/>
        <v>1150</v>
      </c>
      <c r="N63" s="531">
        <f t="shared" si="186"/>
        <v>1150</v>
      </c>
      <c r="O63" s="533">
        <f>SUM(C63:N63)</f>
        <v>13050</v>
      </c>
    </row>
    <row r="64" spans="1:15" s="14" customFormat="1" collapsed="1" x14ac:dyDescent="0.2">
      <c r="B64" s="480" t="s">
        <v>408</v>
      </c>
      <c r="C64" s="531">
        <f>+C65+C66+C67</f>
        <v>615.35078424244398</v>
      </c>
      <c r="D64" s="531">
        <f t="shared" ref="D64" si="187">+D65+D66+D67</f>
        <v>615.35078424244398</v>
      </c>
      <c r="E64" s="532">
        <f t="shared" ref="E64" si="188">+E65+E66+E67</f>
        <v>615.35078424244398</v>
      </c>
      <c r="F64" s="531">
        <f t="shared" ref="F64" si="189">+F65+F66+F67</f>
        <v>953.35078424244398</v>
      </c>
      <c r="G64" s="531">
        <f t="shared" ref="G64" si="190">+G65+G66+G67</f>
        <v>953.35078424244398</v>
      </c>
      <c r="H64" s="531">
        <f t="shared" ref="H64" si="191">+H65+H66+H67</f>
        <v>953.35078424244398</v>
      </c>
      <c r="I64" s="531">
        <f t="shared" ref="I64" si="192">+I65+I66+I67</f>
        <v>953.35078424244398</v>
      </c>
      <c r="J64" s="532">
        <f t="shared" ref="J64" si="193">+J65+J66+J67</f>
        <v>953.35078424244398</v>
      </c>
      <c r="K64" s="531">
        <f t="shared" ref="K64" si="194">+K65+K66+K67</f>
        <v>953.35078424244398</v>
      </c>
      <c r="L64" s="531">
        <f t="shared" ref="L64" si="195">+L65+L66+L67</f>
        <v>953.35078424244398</v>
      </c>
      <c r="M64" s="531">
        <f t="shared" ref="M64" si="196">+M65+M66+M67</f>
        <v>953.35078424244398</v>
      </c>
      <c r="N64" s="531">
        <f t="shared" ref="N64" si="197">+N65+N66+N67</f>
        <v>953.35078424244398</v>
      </c>
      <c r="O64" s="533">
        <f t="shared" ref="O64" si="198">+O65+O66+O67</f>
        <v>10426.209410909329</v>
      </c>
    </row>
    <row r="65" spans="1:15" s="469" customFormat="1" ht="12" hidden="1" outlineLevel="1" x14ac:dyDescent="0.2">
      <c r="A65" s="469" t="s">
        <v>394</v>
      </c>
      <c r="B65" s="478" t="s">
        <v>339</v>
      </c>
      <c r="C65" s="537">
        <f>'2014'!U42</f>
        <v>250</v>
      </c>
      <c r="D65" s="537">
        <f t="shared" ref="D65" si="199">C65</f>
        <v>250</v>
      </c>
      <c r="E65" s="538">
        <f t="shared" ref="E65" si="200">D65</f>
        <v>250</v>
      </c>
      <c r="F65" s="537">
        <f>'2015-1'!U42</f>
        <v>550</v>
      </c>
      <c r="G65" s="537">
        <f t="shared" ref="G65:J65" si="201">F65</f>
        <v>550</v>
      </c>
      <c r="H65" s="537">
        <f t="shared" si="201"/>
        <v>550</v>
      </c>
      <c r="I65" s="537">
        <f t="shared" si="201"/>
        <v>550</v>
      </c>
      <c r="J65" s="538">
        <f t="shared" si="201"/>
        <v>550</v>
      </c>
      <c r="K65" s="537">
        <f>'2015-2'!U42</f>
        <v>550</v>
      </c>
      <c r="L65" s="537">
        <f t="shared" ref="L65:N65" si="202">K65</f>
        <v>550</v>
      </c>
      <c r="M65" s="537">
        <f t="shared" si="202"/>
        <v>550</v>
      </c>
      <c r="N65" s="537">
        <f t="shared" si="202"/>
        <v>550</v>
      </c>
      <c r="O65" s="539">
        <f>SUM(C65:N65)</f>
        <v>5700</v>
      </c>
    </row>
    <row r="66" spans="1:15" s="469" customFormat="1" ht="12" hidden="1" outlineLevel="1" x14ac:dyDescent="0.2">
      <c r="A66" s="469" t="s">
        <v>394</v>
      </c>
      <c r="B66" s="478" t="s">
        <v>341</v>
      </c>
      <c r="C66" s="537">
        <f>'2014'!U44</f>
        <v>353.35078424244398</v>
      </c>
      <c r="D66" s="537">
        <f t="shared" ref="D66" si="203">C66</f>
        <v>353.35078424244398</v>
      </c>
      <c r="E66" s="538">
        <f t="shared" ref="E66" si="204">D66</f>
        <v>353.35078424244398</v>
      </c>
      <c r="F66" s="537">
        <f>'2015-1'!U44</f>
        <v>353.35078424244398</v>
      </c>
      <c r="G66" s="537">
        <f t="shared" ref="G66:J66" si="205">F66</f>
        <v>353.35078424244398</v>
      </c>
      <c r="H66" s="537">
        <f t="shared" si="205"/>
        <v>353.35078424244398</v>
      </c>
      <c r="I66" s="537">
        <f t="shared" si="205"/>
        <v>353.35078424244398</v>
      </c>
      <c r="J66" s="538">
        <f t="shared" si="205"/>
        <v>353.35078424244398</v>
      </c>
      <c r="K66" s="537">
        <f>'2015-2'!U44</f>
        <v>353.35078424244398</v>
      </c>
      <c r="L66" s="537">
        <f t="shared" ref="L66:N66" si="206">K66</f>
        <v>353.35078424244398</v>
      </c>
      <c r="M66" s="537">
        <f t="shared" si="206"/>
        <v>353.35078424244398</v>
      </c>
      <c r="N66" s="537">
        <f t="shared" si="206"/>
        <v>353.35078424244398</v>
      </c>
      <c r="O66" s="539">
        <f>SUM(C66:N66)</f>
        <v>4240.2094109093287</v>
      </c>
    </row>
    <row r="67" spans="1:15" s="469" customFormat="1" ht="12" hidden="1" outlineLevel="1" x14ac:dyDescent="0.2">
      <c r="A67" s="469" t="s">
        <v>394</v>
      </c>
      <c r="B67" s="478" t="s">
        <v>340</v>
      </c>
      <c r="C67" s="537">
        <f>'2014'!U43</f>
        <v>12</v>
      </c>
      <c r="D67" s="537">
        <f t="shared" ref="D67:E68" si="207">C67</f>
        <v>12</v>
      </c>
      <c r="E67" s="538">
        <f t="shared" ref="E67" si="208">D67</f>
        <v>12</v>
      </c>
      <c r="F67" s="537">
        <f>'2015-1'!U43</f>
        <v>50</v>
      </c>
      <c r="G67" s="537">
        <f t="shared" ref="G67:J68" si="209">F67</f>
        <v>50</v>
      </c>
      <c r="H67" s="537">
        <f t="shared" si="209"/>
        <v>50</v>
      </c>
      <c r="I67" s="537">
        <f t="shared" si="209"/>
        <v>50</v>
      </c>
      <c r="J67" s="538">
        <f t="shared" si="209"/>
        <v>50</v>
      </c>
      <c r="K67" s="537">
        <f>'2015-2'!U43</f>
        <v>50</v>
      </c>
      <c r="L67" s="537">
        <f t="shared" ref="L67:N68" si="210">K67</f>
        <v>50</v>
      </c>
      <c r="M67" s="537">
        <f t="shared" si="210"/>
        <v>50</v>
      </c>
      <c r="N67" s="537">
        <f t="shared" si="210"/>
        <v>50</v>
      </c>
      <c r="O67" s="539">
        <f>SUM(C67:N67)</f>
        <v>486</v>
      </c>
    </row>
    <row r="68" spans="1:15" s="14" customFormat="1" collapsed="1" x14ac:dyDescent="0.2">
      <c r="B68" s="480" t="s">
        <v>435</v>
      </c>
      <c r="C68" s="531">
        <f>C69+C70</f>
        <v>769.48080000000004</v>
      </c>
      <c r="D68" s="531">
        <f t="shared" si="207"/>
        <v>769.48080000000004</v>
      </c>
      <c r="E68" s="532">
        <f t="shared" si="207"/>
        <v>769.48080000000004</v>
      </c>
      <c r="F68" s="531">
        <f>F69+F70</f>
        <v>769.48080000000004</v>
      </c>
      <c r="G68" s="531">
        <f t="shared" si="209"/>
        <v>769.48080000000004</v>
      </c>
      <c r="H68" s="531">
        <f t="shared" si="209"/>
        <v>769.48080000000004</v>
      </c>
      <c r="I68" s="531">
        <f t="shared" si="209"/>
        <v>769.48080000000004</v>
      </c>
      <c r="J68" s="532">
        <f t="shared" si="209"/>
        <v>769.48080000000004</v>
      </c>
      <c r="K68" s="531">
        <f>K69+K70</f>
        <v>769.48080000000004</v>
      </c>
      <c r="L68" s="531">
        <f t="shared" si="210"/>
        <v>769.48080000000004</v>
      </c>
      <c r="M68" s="531">
        <f t="shared" si="210"/>
        <v>769.48080000000004</v>
      </c>
      <c r="N68" s="531">
        <f t="shared" si="210"/>
        <v>769.48080000000004</v>
      </c>
      <c r="O68" s="533">
        <f t="shared" ref="O68" si="211">SUM(C68:N68)</f>
        <v>9233.7696000000014</v>
      </c>
    </row>
    <row r="69" spans="1:15" s="469" customFormat="1" ht="12" hidden="1" outlineLevel="1" x14ac:dyDescent="0.2">
      <c r="A69" s="469" t="s">
        <v>394</v>
      </c>
      <c r="B69" s="478" t="s">
        <v>346</v>
      </c>
      <c r="C69" s="537">
        <f>'2014'!U37</f>
        <v>655.48080000000004</v>
      </c>
      <c r="D69" s="537">
        <f t="shared" ref="D69" si="212">C69</f>
        <v>655.48080000000004</v>
      </c>
      <c r="E69" s="538">
        <f t="shared" ref="E69" si="213">D69</f>
        <v>655.48080000000004</v>
      </c>
      <c r="F69" s="537">
        <f>'2015-1'!U37</f>
        <v>655.48080000000004</v>
      </c>
      <c r="G69" s="537">
        <f t="shared" ref="G69:J69" si="214">F69</f>
        <v>655.48080000000004</v>
      </c>
      <c r="H69" s="537">
        <f t="shared" si="214"/>
        <v>655.48080000000004</v>
      </c>
      <c r="I69" s="537">
        <f t="shared" si="214"/>
        <v>655.48080000000004</v>
      </c>
      <c r="J69" s="538">
        <f t="shared" si="214"/>
        <v>655.48080000000004</v>
      </c>
      <c r="K69" s="537">
        <f>'2015-2'!U37</f>
        <v>655.48080000000004</v>
      </c>
      <c r="L69" s="537">
        <f t="shared" ref="L69:N69" si="215">K69</f>
        <v>655.48080000000004</v>
      </c>
      <c r="M69" s="537">
        <f t="shared" si="215"/>
        <v>655.48080000000004</v>
      </c>
      <c r="N69" s="537">
        <f t="shared" si="215"/>
        <v>655.48080000000004</v>
      </c>
      <c r="O69" s="539">
        <f t="shared" si="132"/>
        <v>7865.7696000000024</v>
      </c>
    </row>
    <row r="70" spans="1:15" s="469" customFormat="1" ht="12" hidden="1" outlineLevel="1" x14ac:dyDescent="0.2">
      <c r="A70" s="469" t="s">
        <v>394</v>
      </c>
      <c r="B70" s="478" t="s">
        <v>406</v>
      </c>
      <c r="C70" s="537">
        <f>'2014'!U38</f>
        <v>114</v>
      </c>
      <c r="D70" s="537">
        <f t="shared" ref="D70" si="216">C70</f>
        <v>114</v>
      </c>
      <c r="E70" s="538">
        <f t="shared" ref="E70" si="217">D70</f>
        <v>114</v>
      </c>
      <c r="F70" s="537">
        <f>'2015-1'!U38</f>
        <v>114</v>
      </c>
      <c r="G70" s="537">
        <f t="shared" ref="G70:J70" si="218">F70</f>
        <v>114</v>
      </c>
      <c r="H70" s="537">
        <f t="shared" si="218"/>
        <v>114</v>
      </c>
      <c r="I70" s="537">
        <f t="shared" si="218"/>
        <v>114</v>
      </c>
      <c r="J70" s="538">
        <f t="shared" si="218"/>
        <v>114</v>
      </c>
      <c r="K70" s="537">
        <f>'2015-2'!U38</f>
        <v>114</v>
      </c>
      <c r="L70" s="537">
        <f t="shared" ref="L70:N70" si="219">K70</f>
        <v>114</v>
      </c>
      <c r="M70" s="537">
        <f t="shared" si="219"/>
        <v>114</v>
      </c>
      <c r="N70" s="537">
        <f t="shared" si="219"/>
        <v>114</v>
      </c>
      <c r="O70" s="539">
        <f>SUM(C70:N70)</f>
        <v>1368</v>
      </c>
    </row>
    <row r="71" spans="1:15" s="14" customFormat="1" x14ac:dyDescent="0.2">
      <c r="A71" s="14" t="s">
        <v>394</v>
      </c>
      <c r="B71" s="480" t="s">
        <v>409</v>
      </c>
      <c r="C71" s="531">
        <f>'2014'!U47</f>
        <v>1000</v>
      </c>
      <c r="D71" s="531">
        <f t="shared" ref="D71" si="220">C71</f>
        <v>1000</v>
      </c>
      <c r="E71" s="532">
        <f t="shared" ref="E71" si="221">D71</f>
        <v>1000</v>
      </c>
      <c r="F71" s="531">
        <f>'2015-1'!U47</f>
        <v>500</v>
      </c>
      <c r="G71" s="531">
        <f t="shared" ref="G71:J71" si="222">F71</f>
        <v>500</v>
      </c>
      <c r="H71" s="531">
        <f t="shared" si="222"/>
        <v>500</v>
      </c>
      <c r="I71" s="531">
        <f t="shared" si="222"/>
        <v>500</v>
      </c>
      <c r="J71" s="532">
        <f t="shared" si="222"/>
        <v>500</v>
      </c>
      <c r="K71" s="531">
        <f>'2015-2'!U47</f>
        <v>500</v>
      </c>
      <c r="L71" s="531">
        <f t="shared" ref="L71:N71" si="223">K71</f>
        <v>500</v>
      </c>
      <c r="M71" s="531">
        <f t="shared" si="223"/>
        <v>500</v>
      </c>
      <c r="N71" s="531">
        <f t="shared" si="223"/>
        <v>500</v>
      </c>
      <c r="O71" s="533">
        <f t="shared" si="132"/>
        <v>7500</v>
      </c>
    </row>
    <row r="72" spans="1:15" s="14" customFormat="1" x14ac:dyDescent="0.2">
      <c r="A72" s="14" t="s">
        <v>394</v>
      </c>
      <c r="B72" s="480" t="s">
        <v>410</v>
      </c>
      <c r="C72" s="531">
        <f>'2014'!U41</f>
        <v>129</v>
      </c>
      <c r="D72" s="531">
        <f t="shared" ref="D72" si="224">C72</f>
        <v>129</v>
      </c>
      <c r="E72" s="532">
        <f t="shared" ref="E72" si="225">D72</f>
        <v>129</v>
      </c>
      <c r="F72" s="531">
        <f>'2015-1'!U41</f>
        <v>129</v>
      </c>
      <c r="G72" s="531">
        <f t="shared" ref="G72:J72" si="226">F72</f>
        <v>129</v>
      </c>
      <c r="H72" s="531">
        <f t="shared" si="226"/>
        <v>129</v>
      </c>
      <c r="I72" s="531">
        <f t="shared" si="226"/>
        <v>129</v>
      </c>
      <c r="J72" s="532">
        <f t="shared" si="226"/>
        <v>129</v>
      </c>
      <c r="K72" s="531">
        <f>'2015-2'!U41</f>
        <v>129</v>
      </c>
      <c r="L72" s="531">
        <f t="shared" ref="L72:N72" si="227">K72</f>
        <v>129</v>
      </c>
      <c r="M72" s="531">
        <f t="shared" si="227"/>
        <v>129</v>
      </c>
      <c r="N72" s="531">
        <f t="shared" si="227"/>
        <v>129</v>
      </c>
      <c r="O72" s="533">
        <f>SUM(C72:N72)</f>
        <v>1548</v>
      </c>
    </row>
    <row r="73" spans="1:15" ht="13.5" collapsed="1" thickBot="1" x14ac:dyDescent="0.25">
      <c r="B73" s="477" t="s">
        <v>412</v>
      </c>
      <c r="C73" s="529">
        <f>'2014'!U88</f>
        <v>579663.54975003656</v>
      </c>
      <c r="D73" s="529">
        <f t="shared" ref="D73" si="228">C73</f>
        <v>579663.54975003656</v>
      </c>
      <c r="E73" s="530">
        <f t="shared" ref="E73" si="229">D73</f>
        <v>579663.54975003656</v>
      </c>
      <c r="F73" s="529">
        <f>'2015-1'!U88</f>
        <v>764932.94899582863</v>
      </c>
      <c r="G73" s="529">
        <f t="shared" ref="G73:J73" si="230">F73</f>
        <v>764932.94899582863</v>
      </c>
      <c r="H73" s="529">
        <f t="shared" si="230"/>
        <v>764932.94899582863</v>
      </c>
      <c r="I73" s="529">
        <f t="shared" si="230"/>
        <v>764932.94899582863</v>
      </c>
      <c r="J73" s="530">
        <f t="shared" si="230"/>
        <v>764932.94899582863</v>
      </c>
      <c r="K73" s="529">
        <f>'2015-2'!U88</f>
        <v>811042.07144076272</v>
      </c>
      <c r="L73" s="529">
        <f t="shared" ref="L73:N73" si="231">K73</f>
        <v>811042.07144076272</v>
      </c>
      <c r="M73" s="529">
        <f t="shared" si="231"/>
        <v>811042.07144076272</v>
      </c>
      <c r="N73" s="529">
        <f t="shared" si="231"/>
        <v>811042.07144076272</v>
      </c>
      <c r="O73" s="567">
        <f t="shared" ref="O73" si="232">SUM(C73:N73)</f>
        <v>8807823.6799923033</v>
      </c>
    </row>
    <row r="74" spans="1:15" hidden="1" outlineLevel="1" x14ac:dyDescent="0.2">
      <c r="C74" s="540">
        <f>C24+C31+C34+C37+C41+C42+C43+C44+C45+C48+C49+C50+C51+C52+C53+C54+C55+C56+C57+C58+C59+C62+C63+C64+C68+C71+C72</f>
        <v>579663.54975003656</v>
      </c>
      <c r="D74" s="540">
        <f t="shared" ref="D74:O74" si="233">D24+D31+D34+D37+D41+D42+D43+D44+D45+D48+D49+D50+D51+D52+D53+D54+D55+D56+D57+D58+D59+D62+D63+D64+D68+D71+D72</f>
        <v>579663.54975003656</v>
      </c>
      <c r="E74" s="540">
        <f t="shared" si="233"/>
        <v>579663.54975003656</v>
      </c>
      <c r="F74" s="540">
        <f t="shared" si="233"/>
        <v>764932.94899582863</v>
      </c>
      <c r="G74" s="540">
        <f t="shared" si="233"/>
        <v>764932.94899582863</v>
      </c>
      <c r="H74" s="540">
        <f t="shared" si="233"/>
        <v>764932.94899582863</v>
      </c>
      <c r="I74" s="540">
        <f t="shared" si="233"/>
        <v>764932.94899582863</v>
      </c>
      <c r="J74" s="540">
        <f t="shared" si="233"/>
        <v>764932.94899582863</v>
      </c>
      <c r="K74" s="540">
        <f t="shared" si="233"/>
        <v>811042.07144076272</v>
      </c>
      <c r="L74" s="540">
        <f t="shared" si="233"/>
        <v>811042.07144076272</v>
      </c>
      <c r="M74" s="540">
        <f t="shared" si="233"/>
        <v>811042.07144076272</v>
      </c>
      <c r="N74" s="540">
        <f t="shared" si="233"/>
        <v>811042.07144076272</v>
      </c>
      <c r="O74" s="13">
        <f t="shared" si="233"/>
        <v>8807823.679992307</v>
      </c>
    </row>
    <row r="75" spans="1:15" hidden="1" outlineLevel="1" x14ac:dyDescent="0.2">
      <c r="C75" s="13">
        <f>C74-C73</f>
        <v>0</v>
      </c>
      <c r="D75" s="13">
        <f t="shared" ref="D75:O75" si="234">D74-D73</f>
        <v>0</v>
      </c>
      <c r="E75" s="13">
        <f t="shared" si="234"/>
        <v>0</v>
      </c>
      <c r="F75" s="13">
        <f t="shared" si="234"/>
        <v>0</v>
      </c>
      <c r="G75" s="13">
        <f t="shared" si="234"/>
        <v>0</v>
      </c>
      <c r="H75" s="13">
        <f t="shared" si="234"/>
        <v>0</v>
      </c>
      <c r="I75" s="13">
        <f t="shared" si="234"/>
        <v>0</v>
      </c>
      <c r="J75" s="13">
        <f t="shared" si="234"/>
        <v>0</v>
      </c>
      <c r="K75" s="13">
        <f t="shared" si="234"/>
        <v>0</v>
      </c>
      <c r="L75" s="13">
        <f t="shared" si="234"/>
        <v>0</v>
      </c>
      <c r="M75" s="13">
        <f t="shared" si="234"/>
        <v>0</v>
      </c>
      <c r="N75" s="13">
        <f t="shared" si="234"/>
        <v>0</v>
      </c>
      <c r="O75" s="13">
        <f t="shared" si="234"/>
        <v>0</v>
      </c>
    </row>
    <row r="76" spans="1:15" hidden="1" outlineLevel="1" x14ac:dyDescent="0.2">
      <c r="C76" s="13">
        <f>C22-C73</f>
        <v>2.4996348656713963E-4</v>
      </c>
      <c r="D76" s="13">
        <f t="shared" ref="D76:O76" si="235">D22-D73</f>
        <v>2.4996348656713963E-4</v>
      </c>
      <c r="E76" s="38">
        <f t="shared" si="235"/>
        <v>2.4996348656713963E-4</v>
      </c>
      <c r="F76" s="13">
        <f t="shared" si="235"/>
        <v>1.0041713248938322E-3</v>
      </c>
      <c r="G76" s="13">
        <f t="shared" si="235"/>
        <v>1.0041713248938322E-3</v>
      </c>
      <c r="H76" s="13">
        <f t="shared" si="235"/>
        <v>1.0041713248938322E-3</v>
      </c>
      <c r="I76" s="13">
        <f t="shared" si="235"/>
        <v>1.0041713248938322E-3</v>
      </c>
      <c r="J76" s="38">
        <f t="shared" si="235"/>
        <v>1.0041713248938322E-3</v>
      </c>
      <c r="K76" s="13">
        <f t="shared" si="235"/>
        <v>-1.4407627750188112E-3</v>
      </c>
      <c r="L76" s="13">
        <f t="shared" si="235"/>
        <v>-1.4407627750188112E-3</v>
      </c>
      <c r="M76" s="13">
        <f t="shared" si="235"/>
        <v>-1.4407627750188112E-3</v>
      </c>
      <c r="N76" s="38">
        <f t="shared" si="235"/>
        <v>-1.4407627750188112E-3</v>
      </c>
      <c r="O76" s="38">
        <f t="shared" si="235"/>
        <v>7.6964497566223145E-6</v>
      </c>
    </row>
    <row r="77" spans="1:15" hidden="1" outlineLevel="1" x14ac:dyDescent="0.2">
      <c r="C77" s="13">
        <v>0.4194</v>
      </c>
      <c r="D77" s="13">
        <v>0.4194</v>
      </c>
      <c r="E77" s="13">
        <v>0.4194</v>
      </c>
      <c r="F77" s="13">
        <v>0.63</v>
      </c>
      <c r="G77" s="13">
        <v>0.63</v>
      </c>
      <c r="H77" s="13">
        <v>0.63</v>
      </c>
      <c r="I77" s="13">
        <v>0.63</v>
      </c>
      <c r="J77" s="13">
        <v>0.63</v>
      </c>
      <c r="K77" s="13">
        <v>0.78900000000000003</v>
      </c>
      <c r="L77" s="13">
        <v>0.78900000000000003</v>
      </c>
      <c r="M77" s="13">
        <v>0.78900000000000003</v>
      </c>
      <c r="N77" s="13">
        <v>0.78900000000000003</v>
      </c>
    </row>
    <row r="78" spans="1:15" hidden="1" outlineLevel="1" x14ac:dyDescent="0.2">
      <c r="C78" s="540">
        <f>SUM(C26:C30)</f>
        <v>24231.562909090906</v>
      </c>
      <c r="D78" s="540">
        <f t="shared" ref="D78:O78" si="236">SUM(D26:D30)</f>
        <v>24231.562909090906</v>
      </c>
      <c r="E78" s="540">
        <f t="shared" si="236"/>
        <v>24231.562909090906</v>
      </c>
      <c r="F78" s="540">
        <f t="shared" si="236"/>
        <v>30102.524566151886</v>
      </c>
      <c r="G78" s="540">
        <f t="shared" si="236"/>
        <v>30102.524566151886</v>
      </c>
      <c r="H78" s="540">
        <f t="shared" si="236"/>
        <v>30102.524566151886</v>
      </c>
      <c r="I78" s="540">
        <f t="shared" si="236"/>
        <v>30102.524566151886</v>
      </c>
      <c r="J78" s="540">
        <f t="shared" si="236"/>
        <v>30102.524566151886</v>
      </c>
      <c r="K78" s="540">
        <f t="shared" si="236"/>
        <v>37464.020329186278</v>
      </c>
      <c r="L78" s="540">
        <f t="shared" si="236"/>
        <v>37464.020329186278</v>
      </c>
      <c r="M78" s="540">
        <f t="shared" si="236"/>
        <v>37464.020329186278</v>
      </c>
      <c r="N78" s="540">
        <f t="shared" si="236"/>
        <v>37464.020329186278</v>
      </c>
      <c r="O78" s="540">
        <f t="shared" si="236"/>
        <v>373063.39287477726</v>
      </c>
    </row>
    <row r="79" spans="1:15" hidden="1" outlineLevel="1" x14ac:dyDescent="0.2">
      <c r="C79" s="540">
        <f>C78/C77</f>
        <v>57776.735596306404</v>
      </c>
      <c r="D79" s="540">
        <f t="shared" ref="D79:N79" si="237">D78/D77</f>
        <v>57776.735596306404</v>
      </c>
      <c r="E79" s="540">
        <f t="shared" si="237"/>
        <v>57776.735596306404</v>
      </c>
      <c r="F79" s="540">
        <f t="shared" si="237"/>
        <v>47781.785025637917</v>
      </c>
      <c r="G79" s="540">
        <f t="shared" si="237"/>
        <v>47781.785025637917</v>
      </c>
      <c r="H79" s="540">
        <f t="shared" si="237"/>
        <v>47781.785025637917</v>
      </c>
      <c r="I79" s="540">
        <f t="shared" si="237"/>
        <v>47781.785025637917</v>
      </c>
      <c r="J79" s="540">
        <f t="shared" si="237"/>
        <v>47781.785025637917</v>
      </c>
      <c r="K79" s="540">
        <f t="shared" si="237"/>
        <v>47482.915499602379</v>
      </c>
      <c r="L79" s="540">
        <f t="shared" si="237"/>
        <v>47482.915499602379</v>
      </c>
      <c r="M79" s="540">
        <f t="shared" si="237"/>
        <v>47482.915499602379</v>
      </c>
      <c r="N79" s="540">
        <f t="shared" si="237"/>
        <v>47482.915499602379</v>
      </c>
      <c r="O79" s="540"/>
    </row>
  </sheetData>
  <phoneticPr fontId="3" type="noConversion"/>
  <printOptions horizontalCentered="1" verticalCentered="1"/>
  <pageMargins left="0" right="0" top="0" bottom="0" header="0.51181102362204722" footer="0.51181102362204722"/>
  <pageSetup scale="7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workbookViewId="0">
      <selection activeCell="B7" sqref="B7"/>
    </sheetView>
  </sheetViews>
  <sheetFormatPr defaultColWidth="8.85546875" defaultRowHeight="12.75" outlineLevelCol="1" x14ac:dyDescent="0.2"/>
  <cols>
    <col min="1" max="1" width="9.140625" style="33" customWidth="1"/>
    <col min="2" max="2" width="67" style="33" customWidth="1"/>
    <col min="3" max="4" width="13.140625" style="33" bestFit="1" customWidth="1"/>
    <col min="5" max="5" width="12.28515625" style="33" bestFit="1" customWidth="1"/>
    <col min="6" max="6" width="8.85546875" style="489" hidden="1" customWidth="1" outlineLevel="1"/>
    <col min="7" max="7" width="8.85546875" style="33" hidden="1" customWidth="1" outlineLevel="1"/>
    <col min="8" max="8" width="8.85546875" style="489" hidden="1" customWidth="1" outlineLevel="1"/>
    <col min="9" max="9" width="8.85546875" style="33" hidden="1" customWidth="1" outlineLevel="1"/>
    <col min="10" max="10" width="8.85546875" style="33" collapsed="1"/>
    <col min="11" max="16384" width="8.85546875" style="33"/>
  </cols>
  <sheetData>
    <row r="1" spans="1:9" s="563" customFormat="1" ht="38.25" customHeight="1" x14ac:dyDescent="0.2">
      <c r="B1" s="566" t="s">
        <v>306</v>
      </c>
      <c r="C1" s="564"/>
      <c r="D1" s="564"/>
    </row>
    <row r="2" spans="1:9" s="193" customFormat="1" ht="32.25" customHeight="1" x14ac:dyDescent="0.2">
      <c r="B2" s="517" t="s">
        <v>442</v>
      </c>
      <c r="C2" s="517"/>
      <c r="D2" s="517"/>
      <c r="F2" s="495"/>
      <c r="H2" s="495"/>
    </row>
    <row r="3" spans="1:9" s="561" customFormat="1" ht="32.25" customHeight="1" x14ac:dyDescent="0.2">
      <c r="B3" s="562" t="s">
        <v>446</v>
      </c>
      <c r="C3" s="562"/>
      <c r="D3" s="562"/>
    </row>
    <row r="4" spans="1:9" ht="59.25" customHeight="1" x14ac:dyDescent="0.2">
      <c r="A4" s="194" t="s">
        <v>237</v>
      </c>
      <c r="B4" s="197" t="s">
        <v>441</v>
      </c>
      <c r="C4" s="565" t="s">
        <v>443</v>
      </c>
      <c r="D4" s="565" t="s">
        <v>444</v>
      </c>
      <c r="E4" s="565" t="s">
        <v>445</v>
      </c>
    </row>
    <row r="5" spans="1:9" ht="28.5" customHeight="1" x14ac:dyDescent="0.2">
      <c r="A5" s="195">
        <v>1</v>
      </c>
      <c r="B5" s="196" t="s">
        <v>295</v>
      </c>
      <c r="C5" s="498">
        <v>0.29734979562935759</v>
      </c>
      <c r="D5" s="198">
        <f>'расчет тарифа'!AO6</f>
        <v>0.33749690163709339</v>
      </c>
      <c r="E5" s="198">
        <f>'расчет тарифа'!AS6</f>
        <v>0.33749690163709339</v>
      </c>
      <c r="F5" s="494">
        <f>D5-C5</f>
        <v>4.01471060077358E-2</v>
      </c>
      <c r="G5" s="120">
        <f>E5-D5</f>
        <v>0</v>
      </c>
      <c r="H5" s="484">
        <f>F5/C5</f>
        <v>0.13501642374686079</v>
      </c>
      <c r="I5" s="484">
        <f>G5/D5</f>
        <v>0</v>
      </c>
    </row>
    <row r="6" spans="1:9" ht="28.5" customHeight="1" x14ac:dyDescent="0.2">
      <c r="A6" s="195">
        <v>2</v>
      </c>
      <c r="B6" s="196" t="s">
        <v>296</v>
      </c>
      <c r="C6" s="498">
        <v>0.66348309283389728</v>
      </c>
      <c r="D6" s="198">
        <f>'расчет тарифа'!AO7</f>
        <v>0.75306420724483636</v>
      </c>
      <c r="E6" s="198">
        <f>'расчет тарифа'!AS7</f>
        <v>0.75306420724483636</v>
      </c>
      <c r="F6" s="494">
        <f t="shared" ref="F6:G22" si="0">D6-C6</f>
        <v>8.9581114410939078E-2</v>
      </c>
      <c r="G6" s="120">
        <f t="shared" si="0"/>
        <v>0</v>
      </c>
      <c r="H6" s="484">
        <f t="shared" ref="H6:I22" si="1">F6/C6</f>
        <v>0.13501642374686054</v>
      </c>
      <c r="I6" s="484">
        <f t="shared" si="1"/>
        <v>0</v>
      </c>
    </row>
    <row r="7" spans="1:9" ht="28.5" customHeight="1" x14ac:dyDescent="0.2">
      <c r="A7" s="195">
        <v>3</v>
      </c>
      <c r="B7" s="196" t="s">
        <v>276</v>
      </c>
      <c r="C7" s="498">
        <v>0.36703326276483889</v>
      </c>
      <c r="D7" s="198">
        <f>'расчет тарифа'!AO8</f>
        <v>0.50368659928674231</v>
      </c>
      <c r="E7" s="198">
        <f>'расчет тарифа'!AS8</f>
        <v>0.50368659928674231</v>
      </c>
      <c r="F7" s="494">
        <f t="shared" si="0"/>
        <v>0.13665333652190342</v>
      </c>
      <c r="G7" s="120">
        <f t="shared" si="0"/>
        <v>0</v>
      </c>
      <c r="H7" s="484">
        <f t="shared" si="1"/>
        <v>0.37231867077251335</v>
      </c>
      <c r="I7" s="484">
        <f t="shared" si="1"/>
        <v>0</v>
      </c>
    </row>
    <row r="8" spans="1:9" s="489" customFormat="1" ht="28.5" hidden="1" customHeight="1" x14ac:dyDescent="0.2">
      <c r="A8" s="496"/>
      <c r="B8" s="497"/>
      <c r="C8" s="498"/>
      <c r="D8" s="498"/>
      <c r="E8" s="498"/>
      <c r="F8" s="494">
        <f t="shared" ref="F8" si="2">D8-C8</f>
        <v>0</v>
      </c>
      <c r="G8" s="494">
        <f t="shared" ref="G8" si="3">E8-D8</f>
        <v>0</v>
      </c>
      <c r="H8" s="484" t="e">
        <f t="shared" ref="H8" si="4">F8/C8</f>
        <v>#DIV/0!</v>
      </c>
      <c r="I8" s="484" t="e">
        <f t="shared" ref="I8" si="5">G8/D8</f>
        <v>#DIV/0!</v>
      </c>
    </row>
    <row r="9" spans="1:9" ht="28.5" customHeight="1" x14ac:dyDescent="0.2">
      <c r="A9" s="195">
        <v>4</v>
      </c>
      <c r="B9" s="196" t="s">
        <v>278</v>
      </c>
      <c r="C9" s="498">
        <v>0.64452118613638931</v>
      </c>
      <c r="D9" s="198">
        <f>'расчет тарифа'!AO10</f>
        <v>0.70070963115438589</v>
      </c>
      <c r="E9" s="198">
        <f>'расчет тарифа'!AS10</f>
        <v>0.70070963115438589</v>
      </c>
      <c r="F9" s="494">
        <f t="shared" si="0"/>
        <v>5.618844501799658E-2</v>
      </c>
      <c r="G9" s="120">
        <f t="shared" si="0"/>
        <v>0</v>
      </c>
      <c r="H9" s="484">
        <f t="shared" si="1"/>
        <v>8.7178585012574514E-2</v>
      </c>
      <c r="I9" s="484">
        <f t="shared" si="1"/>
        <v>0</v>
      </c>
    </row>
    <row r="10" spans="1:9" ht="28.5" customHeight="1" x14ac:dyDescent="0.2">
      <c r="A10" s="195">
        <v>5</v>
      </c>
      <c r="B10" s="196" t="s">
        <v>279</v>
      </c>
      <c r="C10" s="498">
        <v>0.35141482605144148</v>
      </c>
      <c r="D10" s="198">
        <f>'расчет тарифа'!AO11</f>
        <v>0.39413301856701477</v>
      </c>
      <c r="E10" s="198">
        <f>'расчет тарифа'!AS11</f>
        <v>0.39413301856701477</v>
      </c>
      <c r="F10" s="494">
        <f t="shared" si="0"/>
        <v>4.2718192515573294E-2</v>
      </c>
      <c r="G10" s="120">
        <f t="shared" si="0"/>
        <v>0</v>
      </c>
      <c r="H10" s="484">
        <f t="shared" si="1"/>
        <v>0.12156058694381904</v>
      </c>
      <c r="I10" s="484">
        <f t="shared" si="1"/>
        <v>0</v>
      </c>
    </row>
    <row r="11" spans="1:9" ht="28.5" customHeight="1" x14ac:dyDescent="0.2">
      <c r="A11" s="195">
        <v>6</v>
      </c>
      <c r="B11" s="196" t="s">
        <v>280</v>
      </c>
      <c r="C11" s="498">
        <v>0.61606092715162897</v>
      </c>
      <c r="D11" s="198">
        <f>'расчет тарифа'!AO12</f>
        <v>0.95422349174780785</v>
      </c>
      <c r="E11" s="198">
        <f>'расчет тарифа'!AS12</f>
        <v>0.95422349174780785</v>
      </c>
      <c r="F11" s="494">
        <f t="shared" si="0"/>
        <v>0.33816256459617888</v>
      </c>
      <c r="G11" s="120">
        <f t="shared" si="0"/>
        <v>0</v>
      </c>
      <c r="H11" s="484">
        <f t="shared" si="1"/>
        <v>0.54891091074332665</v>
      </c>
      <c r="I11" s="484">
        <f t="shared" si="1"/>
        <v>0</v>
      </c>
    </row>
    <row r="12" spans="1:9" ht="28.5" customHeight="1" x14ac:dyDescent="0.2">
      <c r="A12" s="195">
        <v>7</v>
      </c>
      <c r="B12" s="196" t="s">
        <v>281</v>
      </c>
      <c r="C12" s="498">
        <v>2.5184729200353308E-3</v>
      </c>
      <c r="D12" s="198">
        <f>'расчет тарифа'!AO13</f>
        <v>2.3454425657450785E-3</v>
      </c>
      <c r="E12" s="198">
        <f>'расчет тарифа'!AS13</f>
        <v>2.3454425657450785E-3</v>
      </c>
      <c r="F12" s="494">
        <f t="shared" si="0"/>
        <v>-1.7303035429025232E-4</v>
      </c>
      <c r="G12" s="120">
        <f t="shared" si="0"/>
        <v>0</v>
      </c>
      <c r="H12" s="484">
        <f t="shared" si="1"/>
        <v>-6.8704472823088739E-2</v>
      </c>
      <c r="I12" s="484">
        <f t="shared" si="1"/>
        <v>0</v>
      </c>
    </row>
    <row r="13" spans="1:9" ht="28.5" customHeight="1" x14ac:dyDescent="0.2">
      <c r="A13" s="195">
        <v>8</v>
      </c>
      <c r="B13" s="196" t="s">
        <v>282</v>
      </c>
      <c r="C13" s="498">
        <v>2.5184729200353308E-3</v>
      </c>
      <c r="D13" s="198">
        <f>'расчет тарифа'!AO14</f>
        <v>2.3454425657450785E-3</v>
      </c>
      <c r="E13" s="198">
        <f>'расчет тарифа'!AS14</f>
        <v>2.3454425657450785E-3</v>
      </c>
      <c r="F13" s="494">
        <f t="shared" si="0"/>
        <v>-1.7303035429025232E-4</v>
      </c>
      <c r="G13" s="120">
        <f t="shared" si="0"/>
        <v>0</v>
      </c>
      <c r="H13" s="484">
        <f t="shared" si="1"/>
        <v>-6.8704472823088739E-2</v>
      </c>
      <c r="I13" s="484">
        <f t="shared" si="1"/>
        <v>0</v>
      </c>
    </row>
    <row r="14" spans="1:9" ht="28.5" customHeight="1" x14ac:dyDescent="0.2">
      <c r="A14" s="195">
        <v>9</v>
      </c>
      <c r="B14" s="196" t="s">
        <v>283</v>
      </c>
      <c r="C14" s="498">
        <v>0.15618436713397399</v>
      </c>
      <c r="D14" s="198">
        <f>'расчет тарифа'!AO15</f>
        <v>0.15875587690466217</v>
      </c>
      <c r="E14" s="198">
        <f>'расчет тарифа'!AS15</f>
        <v>0.15875587690466217</v>
      </c>
      <c r="F14" s="494">
        <f t="shared" si="0"/>
        <v>2.5715097706881795E-3</v>
      </c>
      <c r="G14" s="120">
        <f t="shared" si="0"/>
        <v>0</v>
      </c>
      <c r="H14" s="484">
        <f t="shared" si="1"/>
        <v>1.6464578484236866E-2</v>
      </c>
      <c r="I14" s="484">
        <f t="shared" si="1"/>
        <v>0</v>
      </c>
    </row>
    <row r="15" spans="1:9" ht="28.5" customHeight="1" x14ac:dyDescent="0.2">
      <c r="A15" s="195">
        <v>10</v>
      </c>
      <c r="B15" s="196" t="s">
        <v>284</v>
      </c>
      <c r="C15" s="498">
        <v>0.31236873426794798</v>
      </c>
      <c r="D15" s="198">
        <f>'расчет тарифа'!AO16</f>
        <v>0.34190444933405129</v>
      </c>
      <c r="E15" s="198">
        <f>'расчет тарифа'!AS16</f>
        <v>0.34190444933405129</v>
      </c>
      <c r="F15" s="494">
        <f t="shared" si="0"/>
        <v>2.9535715066103307E-2</v>
      </c>
      <c r="G15" s="120">
        <f t="shared" si="0"/>
        <v>0</v>
      </c>
      <c r="H15" s="484">
        <f t="shared" si="1"/>
        <v>9.4554005653996576E-2</v>
      </c>
      <c r="I15" s="484">
        <f t="shared" si="1"/>
        <v>0</v>
      </c>
    </row>
    <row r="16" spans="1:9" ht="28.5" customHeight="1" x14ac:dyDescent="0.2">
      <c r="A16" s="195">
        <v>11</v>
      </c>
      <c r="B16" s="196" t="s">
        <v>285</v>
      </c>
      <c r="C16" s="498">
        <v>0.89676120373108081</v>
      </c>
      <c r="D16" s="198">
        <f>'расчет тарифа'!AO17</f>
        <v>0.91136724323313123</v>
      </c>
      <c r="E16" s="198">
        <f>'расчет тарифа'!AS17</f>
        <v>0.91136724323313123</v>
      </c>
      <c r="F16" s="494">
        <f t="shared" si="0"/>
        <v>1.4606039502050416E-2</v>
      </c>
      <c r="G16" s="120">
        <f t="shared" si="0"/>
        <v>0</v>
      </c>
      <c r="H16" s="484">
        <f t="shared" si="1"/>
        <v>1.6287546161988572E-2</v>
      </c>
      <c r="I16" s="484">
        <f t="shared" si="1"/>
        <v>0</v>
      </c>
    </row>
    <row r="17" spans="1:9" ht="28.5" customHeight="1" x14ac:dyDescent="0.2">
      <c r="A17" s="195">
        <v>12</v>
      </c>
      <c r="B17" s="196" t="s">
        <v>286</v>
      </c>
      <c r="C17" s="498">
        <v>0.1977222828798606</v>
      </c>
      <c r="D17" s="198">
        <f>'расчет тарифа'!AO18</f>
        <v>9.9376559075403548E-2</v>
      </c>
      <c r="E17" s="198">
        <f>'расчет тарифа'!AS18</f>
        <v>0.16750355524666583</v>
      </c>
      <c r="F17" s="494">
        <f t="shared" si="0"/>
        <v>-9.8345723804457053E-2</v>
      </c>
      <c r="G17" s="120">
        <f t="shared" si="0"/>
        <v>6.8126996171262277E-2</v>
      </c>
      <c r="H17" s="484">
        <f t="shared" si="1"/>
        <v>-0.49739322433482913</v>
      </c>
      <c r="I17" s="484">
        <f t="shared" si="1"/>
        <v>0.68554392308522005</v>
      </c>
    </row>
    <row r="18" spans="1:9" ht="28.5" customHeight="1" x14ac:dyDescent="0.2">
      <c r="A18" s="195">
        <v>13</v>
      </c>
      <c r="B18" s="196" t="s">
        <v>287</v>
      </c>
      <c r="C18" s="498">
        <v>8.3103230134377676E-2</v>
      </c>
      <c r="D18" s="198">
        <f>'расчет тарифа'!AO19</f>
        <v>5.0996844280398149E-2</v>
      </c>
      <c r="E18" s="198">
        <f>'расчет тарифа'!AS19</f>
        <v>0.11912384045166043</v>
      </c>
      <c r="F18" s="494">
        <f t="shared" si="0"/>
        <v>-3.2106385853979527E-2</v>
      </c>
      <c r="G18" s="120">
        <f t="shared" si="0"/>
        <v>6.8126996171262277E-2</v>
      </c>
      <c r="H18" s="484">
        <f t="shared" si="1"/>
        <v>-0.38634341652019538</v>
      </c>
      <c r="I18" s="484">
        <f t="shared" si="1"/>
        <v>1.3359061160074273</v>
      </c>
    </row>
    <row r="19" spans="1:9" s="489" customFormat="1" ht="28.5" hidden="1" customHeight="1" x14ac:dyDescent="0.2">
      <c r="A19" s="496"/>
      <c r="B19" s="497"/>
      <c r="C19" s="498"/>
      <c r="D19" s="498"/>
      <c r="E19" s="498"/>
      <c r="F19" s="494">
        <f t="shared" ref="F19" si="6">D19-C19</f>
        <v>0</v>
      </c>
      <c r="G19" s="494">
        <f t="shared" ref="G19" si="7">E19-D19</f>
        <v>0</v>
      </c>
      <c r="H19" s="484" t="e">
        <f t="shared" ref="H19" si="8">F19/C19</f>
        <v>#DIV/0!</v>
      </c>
      <c r="I19" s="484" t="e">
        <f t="shared" ref="I19" si="9">G19/D19</f>
        <v>#DIV/0!</v>
      </c>
    </row>
    <row r="20" spans="1:9" ht="28.5" customHeight="1" x14ac:dyDescent="0.2">
      <c r="A20" s="195">
        <v>14</v>
      </c>
      <c r="B20" s="196" t="s">
        <v>289</v>
      </c>
      <c r="C20" s="498">
        <v>0.12425361625902888</v>
      </c>
      <c r="D20" s="198">
        <f>'расчет тарифа'!AO21</f>
        <v>9.1050444036730266E-2</v>
      </c>
      <c r="E20" s="198">
        <f>'расчет тарифа'!AS21</f>
        <v>0.10522082556913855</v>
      </c>
      <c r="F20" s="494">
        <f t="shared" si="0"/>
        <v>-3.3203172222298613E-2</v>
      </c>
      <c r="G20" s="120">
        <f t="shared" si="0"/>
        <v>1.417038153240828E-2</v>
      </c>
      <c r="H20" s="484">
        <f t="shared" si="1"/>
        <v>-0.26722097289370367</v>
      </c>
      <c r="I20" s="484">
        <f t="shared" si="1"/>
        <v>0.1556322067654263</v>
      </c>
    </row>
    <row r="21" spans="1:9" ht="28.5" customHeight="1" x14ac:dyDescent="0.2">
      <c r="A21" s="195">
        <v>15</v>
      </c>
      <c r="B21" s="196" t="s">
        <v>290</v>
      </c>
      <c r="C21" s="498">
        <v>0.43470652918610675</v>
      </c>
      <c r="D21" s="198">
        <f>'расчет тарифа'!AO22</f>
        <v>0.31854382753375021</v>
      </c>
      <c r="E21" s="198">
        <f>'расчет тарифа'!AS22</f>
        <v>0.3681195063643331</v>
      </c>
      <c r="F21" s="494">
        <f t="shared" si="0"/>
        <v>-0.11616270165235654</v>
      </c>
      <c r="G21" s="120">
        <f t="shared" si="0"/>
        <v>4.9575678830582892E-2</v>
      </c>
      <c r="H21" s="484">
        <f t="shared" si="1"/>
        <v>-0.26722097289370345</v>
      </c>
      <c r="I21" s="484">
        <f t="shared" si="1"/>
        <v>0.15563220676542625</v>
      </c>
    </row>
    <row r="22" spans="1:9" s="202" customFormat="1" ht="34.5" customHeight="1" x14ac:dyDescent="0.2">
      <c r="A22" s="199"/>
      <c r="B22" s="200" t="s">
        <v>362</v>
      </c>
      <c r="C22" s="499">
        <v>5.1500000000000012</v>
      </c>
      <c r="D22" s="201">
        <f>'расчет тарифа'!AO24</f>
        <v>5.6199999791674964</v>
      </c>
      <c r="E22" s="201">
        <f>'расчет тарифа'!AS24</f>
        <v>5.8200000318730121</v>
      </c>
      <c r="F22" s="494">
        <f t="shared" si="0"/>
        <v>0.46999997916749514</v>
      </c>
      <c r="G22" s="120">
        <f t="shared" si="0"/>
        <v>0.20000005270551569</v>
      </c>
      <c r="H22" s="484">
        <f t="shared" si="1"/>
        <v>9.1262131877183503E-2</v>
      </c>
      <c r="I22" s="484">
        <f t="shared" si="1"/>
        <v>3.5587198122221726E-2</v>
      </c>
    </row>
  </sheetData>
  <autoFilter ref="B4:E22"/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X92"/>
  <sheetViews>
    <sheetView showZeros="0" zoomScale="90" zoomScaleNormal="90" workbookViewId="0"/>
  </sheetViews>
  <sheetFormatPr defaultRowHeight="12.75" outlineLevelRow="1" outlineLevelCol="1" x14ac:dyDescent="0.2"/>
  <cols>
    <col min="1" max="1" width="3.85546875" style="369" bestFit="1" customWidth="1"/>
    <col min="2" max="2" width="53.5703125" style="369" bestFit="1" customWidth="1"/>
    <col min="3" max="3" width="9.85546875" style="369" hidden="1" customWidth="1" outlineLevel="1"/>
    <col min="4" max="4" width="8.7109375" style="369" hidden="1" customWidth="1" outlineLevel="1"/>
    <col min="5" max="5" width="9.28515625" style="369" hidden="1" customWidth="1" outlineLevel="1"/>
    <col min="6" max="6" width="8.5703125" style="369" hidden="1" customWidth="1" outlineLevel="1"/>
    <col min="7" max="7" width="11" style="438" bestFit="1" customWidth="1" collapsed="1"/>
    <col min="8" max="8" width="17" style="439" bestFit="1" customWidth="1"/>
    <col min="9" max="9" width="7.28515625" style="369" hidden="1" customWidth="1" outlineLevel="1"/>
    <col min="10" max="10" width="8.7109375" style="369" hidden="1" customWidth="1" outlineLevel="1"/>
    <col min="11" max="11" width="9.28515625" style="369" hidden="1" customWidth="1" outlineLevel="1"/>
    <col min="12" max="12" width="8.5703125" style="369" hidden="1" customWidth="1" outlineLevel="1"/>
    <col min="13" max="13" width="11.42578125" style="438" customWidth="1" collapsed="1"/>
    <col min="14" max="14" width="10.5703125" style="439" bestFit="1" customWidth="1"/>
    <col min="15" max="16" width="8.7109375" style="369" hidden="1" customWidth="1" outlineLevel="1"/>
    <col min="17" max="17" width="9.28515625" style="369" hidden="1" customWidth="1" outlineLevel="1"/>
    <col min="18" max="18" width="8.5703125" style="369" hidden="1" customWidth="1" outlineLevel="1"/>
    <col min="19" max="19" width="9.85546875" style="438" bestFit="1" customWidth="1" collapsed="1"/>
    <col min="20" max="20" width="10.5703125" style="439" bestFit="1" customWidth="1"/>
    <col min="21" max="21" width="11" style="438" bestFit="1" customWidth="1" collapsed="1"/>
    <col min="22" max="22" width="1.5703125" style="369" hidden="1" customWidth="1" outlineLevel="1"/>
    <col min="23" max="23" width="0" style="369" hidden="1" customWidth="1" outlineLevel="1"/>
    <col min="24" max="24" width="9.140625" style="369" collapsed="1"/>
    <col min="25" max="16384" width="9.140625" style="369"/>
  </cols>
  <sheetData>
    <row r="1" spans="1:22" s="353" customFormat="1" ht="25.5" x14ac:dyDescent="0.2">
      <c r="A1" s="346"/>
      <c r="B1" s="347"/>
      <c r="C1" s="348"/>
      <c r="D1" s="348"/>
      <c r="E1" s="348"/>
      <c r="F1" s="347"/>
      <c r="G1" s="345" t="s">
        <v>264</v>
      </c>
      <c r="H1" s="349"/>
      <c r="I1" s="348"/>
      <c r="J1" s="348"/>
      <c r="K1" s="348"/>
      <c r="L1" s="348"/>
      <c r="M1" s="350" t="s">
        <v>265</v>
      </c>
      <c r="N1" s="351"/>
      <c r="O1" s="348"/>
      <c r="P1" s="348"/>
      <c r="Q1" s="348"/>
      <c r="R1" s="348"/>
      <c r="S1" s="352" t="s">
        <v>266</v>
      </c>
      <c r="T1" s="349"/>
      <c r="U1" s="440" t="s">
        <v>263</v>
      </c>
    </row>
    <row r="2" spans="1:22" s="60" customFormat="1" ht="26.25" thickBot="1" x14ac:dyDescent="0.25">
      <c r="A2" s="277" t="s">
        <v>237</v>
      </c>
      <c r="B2" s="278" t="s">
        <v>238</v>
      </c>
      <c r="C2" s="279" t="s">
        <v>245</v>
      </c>
      <c r="D2" s="279" t="s">
        <v>318</v>
      </c>
      <c r="E2" s="279" t="s">
        <v>246</v>
      </c>
      <c r="F2" s="278" t="s">
        <v>232</v>
      </c>
      <c r="G2" s="280" t="s">
        <v>239</v>
      </c>
      <c r="H2" s="281" t="s">
        <v>240</v>
      </c>
      <c r="I2" s="279" t="s">
        <v>245</v>
      </c>
      <c r="J2" s="279" t="s">
        <v>318</v>
      </c>
      <c r="K2" s="279" t="s">
        <v>246</v>
      </c>
      <c r="L2" s="278" t="s">
        <v>232</v>
      </c>
      <c r="M2" s="280" t="s">
        <v>239</v>
      </c>
      <c r="N2" s="281" t="s">
        <v>240</v>
      </c>
      <c r="O2" s="279" t="s">
        <v>245</v>
      </c>
      <c r="P2" s="279" t="s">
        <v>318</v>
      </c>
      <c r="Q2" s="279" t="s">
        <v>246</v>
      </c>
      <c r="R2" s="278" t="s">
        <v>232</v>
      </c>
      <c r="S2" s="280" t="s">
        <v>239</v>
      </c>
      <c r="T2" s="281" t="s">
        <v>240</v>
      </c>
      <c r="U2" s="441" t="s">
        <v>239</v>
      </c>
    </row>
    <row r="3" spans="1:22" s="353" customFormat="1" x14ac:dyDescent="0.2">
      <c r="A3" s="354" t="s">
        <v>241</v>
      </c>
      <c r="B3" s="355"/>
      <c r="C3" s="356"/>
      <c r="D3" s="356"/>
      <c r="E3" s="356"/>
      <c r="F3" s="355"/>
      <c r="G3" s="357"/>
      <c r="H3" s="358"/>
      <c r="I3" s="356"/>
      <c r="J3" s="356"/>
      <c r="K3" s="356"/>
      <c r="L3" s="355"/>
      <c r="M3" s="357"/>
      <c r="N3" s="358"/>
      <c r="O3" s="356"/>
      <c r="P3" s="356"/>
      <c r="Q3" s="356"/>
      <c r="R3" s="355"/>
      <c r="S3" s="357"/>
      <c r="T3" s="358"/>
      <c r="U3" s="442"/>
    </row>
    <row r="4" spans="1:22" x14ac:dyDescent="0.2">
      <c r="A4" s="359">
        <v>1</v>
      </c>
      <c r="B4" s="360" t="s">
        <v>267</v>
      </c>
      <c r="C4" s="361">
        <v>44595.6</v>
      </c>
      <c r="D4" s="362">
        <v>5.15</v>
      </c>
      <c r="E4" s="363"/>
      <c r="F4" s="364"/>
      <c r="G4" s="362">
        <f t="shared" ref="G4:G9" si="0">C4*D4</f>
        <v>229667.34</v>
      </c>
      <c r="H4" s="365">
        <f>G4/C4</f>
        <v>5.15</v>
      </c>
      <c r="I4" s="366">
        <v>7100</v>
      </c>
      <c r="J4" s="362">
        <v>7.8</v>
      </c>
      <c r="K4" s="362"/>
      <c r="L4" s="364"/>
      <c r="M4" s="362">
        <f t="shared" ref="M4:M9" si="1">I4*J4</f>
        <v>55380</v>
      </c>
      <c r="N4" s="367">
        <f>M4/I4</f>
        <v>7.8</v>
      </c>
      <c r="O4" s="366">
        <f>96*10</f>
        <v>960</v>
      </c>
      <c r="P4" s="362">
        <v>11</v>
      </c>
      <c r="Q4" s="366"/>
      <c r="R4" s="364"/>
      <c r="S4" s="362">
        <f>O4*P4</f>
        <v>10560</v>
      </c>
      <c r="T4" s="367">
        <f>S4/O4</f>
        <v>11</v>
      </c>
      <c r="U4" s="420">
        <f t="shared" ref="U4:U9" si="2">G4+M4+S4</f>
        <v>295607.33999999997</v>
      </c>
      <c r="V4" s="368" t="e">
        <f>#REF!-#REF!-#REF!-#REF!</f>
        <v>#REF!</v>
      </c>
    </row>
    <row r="5" spans="1:22" x14ac:dyDescent="0.2">
      <c r="A5" s="359">
        <v>2</v>
      </c>
      <c r="B5" s="360" t="s">
        <v>315</v>
      </c>
      <c r="C5" s="361">
        <v>43064.6</v>
      </c>
      <c r="D5" s="362">
        <v>2.35</v>
      </c>
      <c r="E5" s="366"/>
      <c r="F5" s="364"/>
      <c r="G5" s="370">
        <f t="shared" si="0"/>
        <v>101201.81</v>
      </c>
      <c r="H5" s="365">
        <f>G5/C5</f>
        <v>2.35</v>
      </c>
      <c r="I5" s="366">
        <v>200</v>
      </c>
      <c r="J5" s="362">
        <v>3</v>
      </c>
      <c r="K5" s="366"/>
      <c r="L5" s="364"/>
      <c r="M5" s="362">
        <f t="shared" si="1"/>
        <v>600</v>
      </c>
      <c r="N5" s="367">
        <f>M5/I5</f>
        <v>3</v>
      </c>
      <c r="O5" s="366">
        <f>96*10</f>
        <v>960</v>
      </c>
      <c r="P5" s="362">
        <v>3</v>
      </c>
      <c r="Q5" s="366"/>
      <c r="R5" s="364"/>
      <c r="S5" s="362">
        <f>O5*P5</f>
        <v>2880</v>
      </c>
      <c r="T5" s="367">
        <f>S5/O5</f>
        <v>3</v>
      </c>
      <c r="U5" s="420">
        <f t="shared" si="2"/>
        <v>104681.81</v>
      </c>
      <c r="V5" s="368"/>
    </row>
    <row r="6" spans="1:22" x14ac:dyDescent="0.2">
      <c r="A6" s="359">
        <v>3</v>
      </c>
      <c r="B6" s="360" t="s">
        <v>316</v>
      </c>
      <c r="C6" s="366">
        <v>200000</v>
      </c>
      <c r="D6" s="371">
        <v>0.4194</v>
      </c>
      <c r="E6" s="366"/>
      <c r="F6" s="364"/>
      <c r="G6" s="370">
        <f t="shared" si="0"/>
        <v>83880</v>
      </c>
      <c r="H6" s="365">
        <f>G6/C6</f>
        <v>0.4194</v>
      </c>
      <c r="I6" s="366">
        <v>15000</v>
      </c>
      <c r="J6" s="371">
        <f>1.1861*1.2</f>
        <v>1.4233199999999999</v>
      </c>
      <c r="K6" s="372"/>
      <c r="L6" s="373"/>
      <c r="M6" s="362">
        <f t="shared" si="1"/>
        <v>21349.8</v>
      </c>
      <c r="N6" s="367">
        <f>M6/I6</f>
        <v>1.4233199999999999</v>
      </c>
      <c r="O6" s="374"/>
      <c r="P6" s="366"/>
      <c r="Q6" s="366"/>
      <c r="R6" s="364"/>
      <c r="S6" s="362"/>
      <c r="T6" s="367">
        <f>S6/O$4</f>
        <v>0</v>
      </c>
      <c r="U6" s="420">
        <f t="shared" si="2"/>
        <v>105229.8</v>
      </c>
      <c r="V6" s="368"/>
    </row>
    <row r="7" spans="1:22" x14ac:dyDescent="0.2">
      <c r="A7" s="359">
        <v>4</v>
      </c>
      <c r="B7" s="360" t="s">
        <v>317</v>
      </c>
      <c r="C7" s="366">
        <v>5700</v>
      </c>
      <c r="D7" s="362">
        <v>6.26</v>
      </c>
      <c r="E7" s="366"/>
      <c r="F7" s="364"/>
      <c r="G7" s="370">
        <f t="shared" si="0"/>
        <v>35682</v>
      </c>
      <c r="H7" s="365">
        <f>G7/C7</f>
        <v>6.26</v>
      </c>
      <c r="I7" s="366">
        <v>10</v>
      </c>
      <c r="J7" s="362">
        <v>6.26</v>
      </c>
      <c r="K7" s="366"/>
      <c r="L7" s="364"/>
      <c r="M7" s="362">
        <f t="shared" si="1"/>
        <v>62.599999999999994</v>
      </c>
      <c r="N7" s="367">
        <f>M7/I7</f>
        <v>6.26</v>
      </c>
      <c r="O7" s="374"/>
      <c r="P7" s="366"/>
      <c r="Q7" s="366"/>
      <c r="R7" s="364"/>
      <c r="S7" s="362"/>
      <c r="T7" s="367">
        <f>S7/O$4</f>
        <v>0</v>
      </c>
      <c r="U7" s="420">
        <f t="shared" si="2"/>
        <v>35744.6</v>
      </c>
      <c r="V7" s="368"/>
    </row>
    <row r="8" spans="1:22" x14ac:dyDescent="0.2">
      <c r="A8" s="359">
        <v>5</v>
      </c>
      <c r="B8" s="360" t="s">
        <v>319</v>
      </c>
      <c r="C8" s="366">
        <v>0</v>
      </c>
      <c r="D8" s="362">
        <v>15.75</v>
      </c>
      <c r="E8" s="366"/>
      <c r="F8" s="364"/>
      <c r="G8" s="370">
        <f t="shared" si="0"/>
        <v>0</v>
      </c>
      <c r="H8" s="365"/>
      <c r="I8" s="366"/>
      <c r="J8" s="362">
        <v>15.75</v>
      </c>
      <c r="K8" s="366"/>
      <c r="L8" s="364"/>
      <c r="M8" s="362">
        <f t="shared" si="1"/>
        <v>0</v>
      </c>
      <c r="N8" s="367"/>
      <c r="O8" s="374"/>
      <c r="P8" s="366"/>
      <c r="Q8" s="366"/>
      <c r="R8" s="364"/>
      <c r="S8" s="362">
        <f>O8*P8</f>
        <v>0</v>
      </c>
      <c r="T8" s="367">
        <f>S8/O$4</f>
        <v>0</v>
      </c>
      <c r="U8" s="420">
        <f t="shared" si="2"/>
        <v>0</v>
      </c>
      <c r="V8" s="368"/>
    </row>
    <row r="9" spans="1:22" x14ac:dyDescent="0.2">
      <c r="A9" s="359">
        <v>6</v>
      </c>
      <c r="B9" s="360" t="s">
        <v>388</v>
      </c>
      <c r="C9" s="366">
        <v>0</v>
      </c>
      <c r="D9" s="362"/>
      <c r="E9" s="366"/>
      <c r="F9" s="364"/>
      <c r="G9" s="370">
        <f t="shared" si="0"/>
        <v>0</v>
      </c>
      <c r="H9" s="365"/>
      <c r="I9" s="366"/>
      <c r="J9" s="362"/>
      <c r="K9" s="366"/>
      <c r="L9" s="364"/>
      <c r="M9" s="362">
        <f t="shared" si="1"/>
        <v>0</v>
      </c>
      <c r="N9" s="367"/>
      <c r="O9" s="374">
        <v>960</v>
      </c>
      <c r="P9" s="366">
        <v>40</v>
      </c>
      <c r="Q9" s="366"/>
      <c r="R9" s="364"/>
      <c r="S9" s="362">
        <f>O9*P9</f>
        <v>38400</v>
      </c>
      <c r="T9" s="367">
        <f>S9/O$4</f>
        <v>40</v>
      </c>
      <c r="U9" s="420">
        <f t="shared" si="2"/>
        <v>38400</v>
      </c>
      <c r="V9" s="368"/>
    </row>
    <row r="10" spans="1:22" s="353" customFormat="1" x14ac:dyDescent="0.2">
      <c r="A10" s="375"/>
      <c r="B10" s="376" t="s">
        <v>320</v>
      </c>
      <c r="C10" s="377"/>
      <c r="D10" s="377"/>
      <c r="E10" s="377"/>
      <c r="F10" s="376"/>
      <c r="G10" s="378">
        <f>SUM(G4:G8)</f>
        <v>450431.15</v>
      </c>
      <c r="H10" s="379"/>
      <c r="I10" s="377"/>
      <c r="J10" s="377"/>
      <c r="K10" s="377"/>
      <c r="L10" s="376"/>
      <c r="M10" s="378">
        <f>SUM(M4:M8)</f>
        <v>77392.400000000009</v>
      </c>
      <c r="N10" s="380"/>
      <c r="O10" s="377"/>
      <c r="P10" s="377"/>
      <c r="Q10" s="377"/>
      <c r="R10" s="376"/>
      <c r="S10" s="378">
        <f>SUM(S4:S9)</f>
        <v>51840</v>
      </c>
      <c r="T10" s="380"/>
      <c r="U10" s="443">
        <f>SUM(U4:U9)</f>
        <v>579663.54999999993</v>
      </c>
      <c r="V10" s="368" t="e">
        <f>#REF!-#REF!-#REF!-#REF!</f>
        <v>#REF!</v>
      </c>
    </row>
    <row r="11" spans="1:22" s="353" customFormat="1" ht="13.5" thickBot="1" x14ac:dyDescent="0.25">
      <c r="A11" s="381" t="s">
        <v>242</v>
      </c>
      <c r="B11" s="382"/>
      <c r="C11" s="383"/>
      <c r="D11" s="383"/>
      <c r="E11" s="383"/>
      <c r="F11" s="382"/>
      <c r="G11" s="384"/>
      <c r="H11" s="385"/>
      <c r="I11" s="383"/>
      <c r="J11" s="383"/>
      <c r="K11" s="383"/>
      <c r="L11" s="382"/>
      <c r="M11" s="384"/>
      <c r="N11" s="385"/>
      <c r="O11" s="383"/>
      <c r="P11" s="383"/>
      <c r="Q11" s="383"/>
      <c r="R11" s="382"/>
      <c r="S11" s="384"/>
      <c r="T11" s="385"/>
      <c r="U11" s="444"/>
      <c r="V11" s="368" t="e">
        <f>#REF!-#REF!-#REF!-#REF!</f>
        <v>#REF!</v>
      </c>
    </row>
    <row r="12" spans="1:22" s="353" customFormat="1" x14ac:dyDescent="0.2">
      <c r="A12" s="386" t="s">
        <v>321</v>
      </c>
      <c r="B12" s="387"/>
      <c r="C12" s="388"/>
      <c r="D12" s="388"/>
      <c r="E12" s="388"/>
      <c r="F12" s="387"/>
      <c r="G12" s="389"/>
      <c r="H12" s="390"/>
      <c r="I12" s="388"/>
      <c r="J12" s="388"/>
      <c r="K12" s="388"/>
      <c r="L12" s="387"/>
      <c r="M12" s="389"/>
      <c r="N12" s="390"/>
      <c r="O12" s="388"/>
      <c r="P12" s="388"/>
      <c r="Q12" s="388"/>
      <c r="R12" s="387"/>
      <c r="S12" s="389"/>
      <c r="T12" s="390"/>
      <c r="U12" s="445"/>
      <c r="V12" s="368"/>
    </row>
    <row r="13" spans="1:22" s="353" customFormat="1" x14ac:dyDescent="0.2">
      <c r="A13" s="391">
        <v>1</v>
      </c>
      <c r="B13" s="392" t="s">
        <v>243</v>
      </c>
      <c r="C13" s="393"/>
      <c r="D13" s="394"/>
      <c r="E13" s="394">
        <f>SUM(E14:E26)</f>
        <v>69654.677960000001</v>
      </c>
      <c r="F13" s="395">
        <f>SUM(F14:F26)</f>
        <v>48697.87384</v>
      </c>
      <c r="G13" s="396">
        <f>SUM(G14:G26)</f>
        <v>94682.041440000015</v>
      </c>
      <c r="H13" s="397">
        <f t="shared" ref="H13:H23" si="3">G13/C$4</f>
        <v>2.1231251836504055</v>
      </c>
      <c r="I13" s="393"/>
      <c r="J13" s="394"/>
      <c r="K13" s="394">
        <f>SUM(K14:K26)</f>
        <v>69654.677960000001</v>
      </c>
      <c r="L13" s="395">
        <f>SUM(L14:L26)</f>
        <v>48697.87384</v>
      </c>
      <c r="M13" s="396">
        <f>SUM(M14:M26)</f>
        <v>23670.510359999997</v>
      </c>
      <c r="N13" s="397">
        <f t="shared" ref="N13:N23" si="4">M13/I$4</f>
        <v>3.3338746985915488</v>
      </c>
      <c r="O13" s="393"/>
      <c r="P13" s="394"/>
      <c r="Q13" s="394">
        <f>SUM(Q14:Q26)</f>
        <v>61645.524960000002</v>
      </c>
      <c r="R13" s="395">
        <f>SUM(R14:R26)</f>
        <v>43098.411840000001</v>
      </c>
      <c r="S13" s="396">
        <f>SUM(S14:S26)</f>
        <v>0</v>
      </c>
      <c r="T13" s="397">
        <f>S13/O$4</f>
        <v>0</v>
      </c>
      <c r="U13" s="446">
        <f t="shared" ref="U13:U23" si="5">G13+M13+S13</f>
        <v>118352.55180000002</v>
      </c>
      <c r="V13" s="368" t="e">
        <f>#REF!-#REF!-#REF!-#REF!</f>
        <v>#REF!</v>
      </c>
    </row>
    <row r="14" spans="1:22" x14ac:dyDescent="0.2">
      <c r="A14" s="359"/>
      <c r="B14" s="360" t="str">
        <f>[1]штат!A5</f>
        <v>Виконавчий директор / головний інженер</v>
      </c>
      <c r="C14" s="374">
        <f>[1]штат!B5</f>
        <v>1</v>
      </c>
      <c r="D14" s="366">
        <f>[1]штат!C5</f>
        <v>12450</v>
      </c>
      <c r="E14" s="366">
        <f>[1]штат!I5</f>
        <v>10021.502999999999</v>
      </c>
      <c r="F14" s="364">
        <f>[1]штат!J5</f>
        <v>7006.362000000001</v>
      </c>
      <c r="G14" s="362">
        <f>[1]штат!$K5*G$55</f>
        <v>13622.291999999999</v>
      </c>
      <c r="H14" s="365">
        <f t="shared" si="3"/>
        <v>0.30546269138659421</v>
      </c>
      <c r="I14" s="374">
        <f t="shared" ref="I14:I23" si="6">C14</f>
        <v>1</v>
      </c>
      <c r="J14" s="366">
        <f t="shared" ref="J14:J23" si="7">D14</f>
        <v>12450</v>
      </c>
      <c r="K14" s="366">
        <f t="shared" ref="K14:K23" si="8">E14</f>
        <v>10021.502999999999</v>
      </c>
      <c r="L14" s="364">
        <f t="shared" ref="L14:L23" si="9">F14</f>
        <v>7006.362000000001</v>
      </c>
      <c r="M14" s="362">
        <f>[1]штат!$K5*M$55</f>
        <v>3405.572999999999</v>
      </c>
      <c r="N14" s="365">
        <f t="shared" si="4"/>
        <v>0.47965816901408437</v>
      </c>
      <c r="O14" s="374">
        <f t="shared" ref="O14:R15" si="10">I14</f>
        <v>1</v>
      </c>
      <c r="P14" s="366">
        <f t="shared" si="10"/>
        <v>12450</v>
      </c>
      <c r="Q14" s="366">
        <f t="shared" si="10"/>
        <v>10021.502999999999</v>
      </c>
      <c r="R14" s="364">
        <f t="shared" si="10"/>
        <v>7006.362000000001</v>
      </c>
      <c r="S14" s="362">
        <f>[1]штат!$K5*S$55</f>
        <v>0</v>
      </c>
      <c r="T14" s="365">
        <f>S14/O$4</f>
        <v>0</v>
      </c>
      <c r="U14" s="420">
        <f t="shared" si="5"/>
        <v>17027.864999999998</v>
      </c>
      <c r="V14" s="368" t="e">
        <f>#REF!-#REF!-#REF!-#REF!</f>
        <v>#REF!</v>
      </c>
    </row>
    <row r="15" spans="1:22" x14ac:dyDescent="0.2">
      <c r="A15" s="359"/>
      <c r="B15" s="360" t="str">
        <f>[1]штат!A6</f>
        <v>Директор з організаційних питань</v>
      </c>
      <c r="C15" s="374">
        <f>[1]штат!B6</f>
        <v>1</v>
      </c>
      <c r="D15" s="366">
        <f>[1]штат!C6</f>
        <v>0</v>
      </c>
      <c r="E15" s="366">
        <f>[1]штат!I6</f>
        <v>0</v>
      </c>
      <c r="F15" s="364">
        <f>[1]штат!J6</f>
        <v>0</v>
      </c>
      <c r="G15" s="362">
        <f>[1]штат!$K6*G$55</f>
        <v>0</v>
      </c>
      <c r="H15" s="365">
        <f t="shared" si="3"/>
        <v>0</v>
      </c>
      <c r="I15" s="374">
        <f t="shared" si="6"/>
        <v>1</v>
      </c>
      <c r="J15" s="366">
        <f t="shared" si="7"/>
        <v>0</v>
      </c>
      <c r="K15" s="366">
        <f t="shared" si="8"/>
        <v>0</v>
      </c>
      <c r="L15" s="364">
        <f t="shared" si="9"/>
        <v>0</v>
      </c>
      <c r="M15" s="362">
        <f>[1]штат!$K6*M$55</f>
        <v>0</v>
      </c>
      <c r="N15" s="365">
        <f t="shared" si="4"/>
        <v>0</v>
      </c>
      <c r="O15" s="374">
        <f t="shared" si="10"/>
        <v>1</v>
      </c>
      <c r="P15" s="366">
        <f t="shared" si="10"/>
        <v>0</v>
      </c>
      <c r="Q15" s="366">
        <f t="shared" si="10"/>
        <v>0</v>
      </c>
      <c r="R15" s="364">
        <f t="shared" si="10"/>
        <v>0</v>
      </c>
      <c r="S15" s="362">
        <f>[1]штат!$K6*S$55</f>
        <v>0</v>
      </c>
      <c r="T15" s="365">
        <f>S15/O$4</f>
        <v>0</v>
      </c>
      <c r="U15" s="420">
        <f t="shared" si="5"/>
        <v>0</v>
      </c>
      <c r="V15" s="368" t="e">
        <f>#REF!-#REF!-#REF!-#REF!</f>
        <v>#REF!</v>
      </c>
    </row>
    <row r="16" spans="1:22" x14ac:dyDescent="0.2">
      <c r="A16" s="359"/>
      <c r="B16" s="360" t="str">
        <f>[1]штат!A7</f>
        <v>Начальник дільниці</v>
      </c>
      <c r="C16" s="374">
        <f>[1]штат!B7</f>
        <v>1</v>
      </c>
      <c r="D16" s="366">
        <f>[1]штат!C7</f>
        <v>9950</v>
      </c>
      <c r="E16" s="366">
        <f>[1]штат!I7</f>
        <v>8009.1529999999993</v>
      </c>
      <c r="F16" s="364">
        <f>[1]штат!J7</f>
        <v>5599.4620000000004</v>
      </c>
      <c r="G16" s="362">
        <f>[1]штат!$K7*G$55</f>
        <v>10886.892</v>
      </c>
      <c r="H16" s="365">
        <f t="shared" si="3"/>
        <v>0.24412480154992869</v>
      </c>
      <c r="I16" s="374">
        <f t="shared" si="6"/>
        <v>1</v>
      </c>
      <c r="J16" s="366">
        <f t="shared" si="7"/>
        <v>9950</v>
      </c>
      <c r="K16" s="366">
        <f t="shared" si="8"/>
        <v>8009.1529999999993</v>
      </c>
      <c r="L16" s="364">
        <f t="shared" si="9"/>
        <v>5599.4620000000004</v>
      </c>
      <c r="M16" s="362">
        <f>[1]штат!$K7*M$55</f>
        <v>2721.7229999999995</v>
      </c>
      <c r="N16" s="365">
        <f t="shared" si="4"/>
        <v>0.38334126760563375</v>
      </c>
      <c r="O16" s="374"/>
      <c r="P16" s="366"/>
      <c r="Q16" s="366"/>
      <c r="R16" s="364"/>
      <c r="S16" s="362"/>
      <c r="T16" s="365"/>
      <c r="U16" s="420">
        <f t="shared" si="5"/>
        <v>13608.615</v>
      </c>
      <c r="V16" s="368" t="e">
        <f>#REF!-#REF!-#REF!-#REF!</f>
        <v>#REF!</v>
      </c>
    </row>
    <row r="17" spans="1:22" x14ac:dyDescent="0.2">
      <c r="A17" s="359"/>
      <c r="B17" s="360" t="str">
        <f>[1]штат!A8</f>
        <v>Головний бухгалтер</v>
      </c>
      <c r="C17" s="374">
        <f>[1]штат!B8</f>
        <v>1</v>
      </c>
      <c r="D17" s="366">
        <f>[1]штат!C8</f>
        <v>6220</v>
      </c>
      <c r="E17" s="366">
        <f>[1]штат!I8</f>
        <v>5006.7268000000004</v>
      </c>
      <c r="F17" s="364">
        <f>[1]штат!J8</f>
        <v>3500.3672000000001</v>
      </c>
      <c r="G17" s="362">
        <f>[1]штат!$K8*G$55</f>
        <v>6805.6752000000015</v>
      </c>
      <c r="H17" s="365">
        <f t="shared" si="3"/>
        <v>0.15260866991362382</v>
      </c>
      <c r="I17" s="374">
        <f t="shared" si="6"/>
        <v>1</v>
      </c>
      <c r="J17" s="366">
        <f t="shared" si="7"/>
        <v>6220</v>
      </c>
      <c r="K17" s="366">
        <f t="shared" si="8"/>
        <v>5006.7268000000004</v>
      </c>
      <c r="L17" s="364">
        <f t="shared" si="9"/>
        <v>3500.3672000000001</v>
      </c>
      <c r="M17" s="362">
        <f>[1]штат!$K8*M$55</f>
        <v>1701.4187999999999</v>
      </c>
      <c r="N17" s="365">
        <f t="shared" si="4"/>
        <v>0.23963645070422535</v>
      </c>
      <c r="O17" s="374">
        <f t="shared" ref="O17:R23" si="11">I17</f>
        <v>1</v>
      </c>
      <c r="P17" s="366">
        <f t="shared" si="11"/>
        <v>6220</v>
      </c>
      <c r="Q17" s="366">
        <f t="shared" si="11"/>
        <v>5006.7268000000004</v>
      </c>
      <c r="R17" s="364">
        <f t="shared" si="11"/>
        <v>3500.3672000000001</v>
      </c>
      <c r="S17" s="362">
        <f>[1]штат!$K8*S$55</f>
        <v>0</v>
      </c>
      <c r="T17" s="365">
        <f t="shared" ref="T17:T23" si="12">S17/O$4</f>
        <v>0</v>
      </c>
      <c r="U17" s="420">
        <f t="shared" si="5"/>
        <v>8507.094000000001</v>
      </c>
      <c r="V17" s="368" t="e">
        <f>#REF!-#REF!-#REF!-#REF!</f>
        <v>#REF!</v>
      </c>
    </row>
    <row r="18" spans="1:22" x14ac:dyDescent="0.2">
      <c r="A18" s="359"/>
      <c r="B18" s="360" t="str">
        <f>[1]штат!A9</f>
        <v>Бухгалтер</v>
      </c>
      <c r="C18" s="374">
        <f>[1]штат!B9</f>
        <v>1</v>
      </c>
      <c r="D18" s="366">
        <f>[1]штат!C9</f>
        <v>3730</v>
      </c>
      <c r="E18" s="366">
        <f>[1]штат!I9</f>
        <v>3002.4261999999999</v>
      </c>
      <c r="F18" s="364">
        <f>[1]штат!J9</f>
        <v>2099.0948000000003</v>
      </c>
      <c r="G18" s="362">
        <f>[1]штат!$K9*G$55</f>
        <v>4081.2168000000006</v>
      </c>
      <c r="H18" s="365">
        <f t="shared" si="3"/>
        <v>9.151613163630494E-2</v>
      </c>
      <c r="I18" s="374">
        <f t="shared" si="6"/>
        <v>1</v>
      </c>
      <c r="J18" s="366">
        <f t="shared" si="7"/>
        <v>3730</v>
      </c>
      <c r="K18" s="366">
        <f t="shared" si="8"/>
        <v>3002.4261999999999</v>
      </c>
      <c r="L18" s="364">
        <f t="shared" si="9"/>
        <v>2099.0948000000003</v>
      </c>
      <c r="M18" s="362">
        <f>[1]штат!$K9*M$55</f>
        <v>1020.3041999999999</v>
      </c>
      <c r="N18" s="365">
        <f t="shared" si="4"/>
        <v>0.14370481690140843</v>
      </c>
      <c r="O18" s="374">
        <f t="shared" si="11"/>
        <v>1</v>
      </c>
      <c r="P18" s="366">
        <f t="shared" si="11"/>
        <v>3730</v>
      </c>
      <c r="Q18" s="366">
        <f t="shared" si="11"/>
        <v>3002.4261999999999</v>
      </c>
      <c r="R18" s="364">
        <f t="shared" si="11"/>
        <v>2099.0948000000003</v>
      </c>
      <c r="S18" s="362">
        <f>[1]штат!$K9*S$55</f>
        <v>0</v>
      </c>
      <c r="T18" s="365">
        <f t="shared" si="12"/>
        <v>0</v>
      </c>
      <c r="U18" s="420">
        <f t="shared" si="5"/>
        <v>5101.5210000000006</v>
      </c>
      <c r="V18" s="368" t="e">
        <f>#REF!-#REF!-#REF!-#REF!</f>
        <v>#REF!</v>
      </c>
    </row>
    <row r="19" spans="1:22" x14ac:dyDescent="0.2">
      <c r="A19" s="359"/>
      <c r="B19" s="360" t="str">
        <f>[1]штат!A10</f>
        <v>Электрик-механик</v>
      </c>
      <c r="C19" s="374">
        <f>[1]штат!B10</f>
        <v>1</v>
      </c>
      <c r="D19" s="366">
        <f>[1]штат!C10</f>
        <v>5720</v>
      </c>
      <c r="E19" s="366">
        <f>[1]штат!I10</f>
        <v>4604.2568000000001</v>
      </c>
      <c r="F19" s="364">
        <f>[1]штат!J10</f>
        <v>3218.9872000000005</v>
      </c>
      <c r="G19" s="362">
        <f>[1]штат!$K10*G$55</f>
        <v>6258.5952000000007</v>
      </c>
      <c r="H19" s="365">
        <f t="shared" si="3"/>
        <v>0.14034109194629069</v>
      </c>
      <c r="I19" s="374">
        <f t="shared" si="6"/>
        <v>1</v>
      </c>
      <c r="J19" s="366">
        <f t="shared" si="7"/>
        <v>5720</v>
      </c>
      <c r="K19" s="366">
        <f t="shared" si="8"/>
        <v>4604.2568000000001</v>
      </c>
      <c r="L19" s="364">
        <f t="shared" si="9"/>
        <v>3218.9872000000005</v>
      </c>
      <c r="M19" s="362">
        <f>[1]штат!$K10*M$55</f>
        <v>1564.6487999999997</v>
      </c>
      <c r="N19" s="365">
        <f t="shared" si="4"/>
        <v>0.22037307042253518</v>
      </c>
      <c r="O19" s="374">
        <f t="shared" si="11"/>
        <v>1</v>
      </c>
      <c r="P19" s="366">
        <f t="shared" si="11"/>
        <v>5720</v>
      </c>
      <c r="Q19" s="366">
        <f t="shared" si="11"/>
        <v>4604.2568000000001</v>
      </c>
      <c r="R19" s="364">
        <f t="shared" si="11"/>
        <v>3218.9872000000005</v>
      </c>
      <c r="S19" s="362">
        <f>[1]штат!$K10*S$55</f>
        <v>0</v>
      </c>
      <c r="T19" s="365">
        <f t="shared" si="12"/>
        <v>0</v>
      </c>
      <c r="U19" s="420">
        <f t="shared" si="5"/>
        <v>7823.2440000000006</v>
      </c>
      <c r="V19" s="368" t="e">
        <f>#REF!-#REF!-#REF!-#REF!</f>
        <v>#REF!</v>
      </c>
    </row>
    <row r="20" spans="1:22" x14ac:dyDescent="0.2">
      <c r="A20" s="359"/>
      <c r="B20" s="360" t="str">
        <f>[1]штат!A11</f>
        <v>Электрик-лифтер</v>
      </c>
      <c r="C20" s="374">
        <f>[1]штат!B11</f>
        <v>1</v>
      </c>
      <c r="D20" s="366">
        <f>[1]штат!C11</f>
        <v>4850</v>
      </c>
      <c r="E20" s="366">
        <f>[1]штат!I11</f>
        <v>3903.9589999999998</v>
      </c>
      <c r="F20" s="364">
        <f>[1]штат!J11</f>
        <v>2729.386</v>
      </c>
      <c r="G20" s="362">
        <f>[1]штат!$K11*G$55</f>
        <v>5306.6759999999995</v>
      </c>
      <c r="H20" s="365">
        <f t="shared" si="3"/>
        <v>0.11899550628313106</v>
      </c>
      <c r="I20" s="374">
        <f t="shared" si="6"/>
        <v>1</v>
      </c>
      <c r="J20" s="366">
        <f t="shared" si="7"/>
        <v>4850</v>
      </c>
      <c r="K20" s="366">
        <f t="shared" si="8"/>
        <v>3903.9589999999998</v>
      </c>
      <c r="L20" s="364">
        <f t="shared" si="9"/>
        <v>2729.386</v>
      </c>
      <c r="M20" s="362">
        <f>[1]штат!$K11*M$55</f>
        <v>1326.6689999999996</v>
      </c>
      <c r="N20" s="365">
        <f t="shared" si="4"/>
        <v>0.18685478873239431</v>
      </c>
      <c r="O20" s="374">
        <f t="shared" si="11"/>
        <v>1</v>
      </c>
      <c r="P20" s="366">
        <f t="shared" si="11"/>
        <v>4850</v>
      </c>
      <c r="Q20" s="366">
        <f t="shared" si="11"/>
        <v>3903.9589999999998</v>
      </c>
      <c r="R20" s="364">
        <f t="shared" si="11"/>
        <v>2729.386</v>
      </c>
      <c r="S20" s="362">
        <f>[1]штат!$K11*S$55</f>
        <v>0</v>
      </c>
      <c r="T20" s="365">
        <f t="shared" si="12"/>
        <v>0</v>
      </c>
      <c r="U20" s="420">
        <f t="shared" si="5"/>
        <v>6633.3449999999993</v>
      </c>
      <c r="V20" s="368" t="e">
        <f>#REF!-#REF!-#REF!-#REF!</f>
        <v>#REF!</v>
      </c>
    </row>
    <row r="21" spans="1:22" x14ac:dyDescent="0.2">
      <c r="A21" s="359"/>
      <c r="B21" s="360" t="str">
        <f>[1]штат!A12</f>
        <v>Сантехник-сварщик</v>
      </c>
      <c r="C21" s="374">
        <f>[1]штат!B12</f>
        <v>1</v>
      </c>
      <c r="D21" s="366">
        <f>[1]штат!C12</f>
        <v>4850</v>
      </c>
      <c r="E21" s="366">
        <f>[1]штат!I12</f>
        <v>3903.9589999999998</v>
      </c>
      <c r="F21" s="364">
        <f>[1]штат!J12</f>
        <v>2729.386</v>
      </c>
      <c r="G21" s="362">
        <f>[1]штат!$K12*G$55</f>
        <v>5306.6759999999995</v>
      </c>
      <c r="H21" s="365">
        <f t="shared" si="3"/>
        <v>0.11899550628313106</v>
      </c>
      <c r="I21" s="374">
        <f t="shared" si="6"/>
        <v>1</v>
      </c>
      <c r="J21" s="366">
        <f t="shared" si="7"/>
        <v>4850</v>
      </c>
      <c r="K21" s="366">
        <f t="shared" si="8"/>
        <v>3903.9589999999998</v>
      </c>
      <c r="L21" s="364">
        <f t="shared" si="9"/>
        <v>2729.386</v>
      </c>
      <c r="M21" s="362">
        <f>[1]штат!$K12*M$55</f>
        <v>1326.6689999999996</v>
      </c>
      <c r="N21" s="365">
        <f t="shared" si="4"/>
        <v>0.18685478873239431</v>
      </c>
      <c r="O21" s="374">
        <f t="shared" si="11"/>
        <v>1</v>
      </c>
      <c r="P21" s="366">
        <f t="shared" si="11"/>
        <v>4850</v>
      </c>
      <c r="Q21" s="366">
        <f t="shared" si="11"/>
        <v>3903.9589999999998</v>
      </c>
      <c r="R21" s="364">
        <f t="shared" si="11"/>
        <v>2729.386</v>
      </c>
      <c r="S21" s="362">
        <f>[1]штат!$K12*S$55</f>
        <v>0</v>
      </c>
      <c r="T21" s="365">
        <f t="shared" si="12"/>
        <v>0</v>
      </c>
      <c r="U21" s="420">
        <f t="shared" si="5"/>
        <v>6633.3449999999993</v>
      </c>
      <c r="V21" s="368" t="e">
        <f>#REF!-#REF!-#REF!-#REF!</f>
        <v>#REF!</v>
      </c>
    </row>
    <row r="22" spans="1:22" x14ac:dyDescent="0.2">
      <c r="A22" s="359"/>
      <c r="B22" s="360" t="str">
        <f>[1]штат!A13</f>
        <v>Слесарь-сантехник</v>
      </c>
      <c r="C22" s="374">
        <f>[1]штат!B13</f>
        <v>1</v>
      </c>
      <c r="D22" s="366">
        <f>[1]штат!C13</f>
        <v>3850</v>
      </c>
      <c r="E22" s="366">
        <f>[1]штат!I13</f>
        <v>3099.0190000000002</v>
      </c>
      <c r="F22" s="364">
        <f>[1]штат!J13</f>
        <v>2166.6260000000002</v>
      </c>
      <c r="G22" s="362">
        <f>[1]штат!$K13*G$55</f>
        <v>4212.5160000000005</v>
      </c>
      <c r="H22" s="365">
        <f t="shared" si="3"/>
        <v>9.446035034846488E-2</v>
      </c>
      <c r="I22" s="374">
        <f t="shared" si="6"/>
        <v>1</v>
      </c>
      <c r="J22" s="366">
        <f t="shared" si="7"/>
        <v>3850</v>
      </c>
      <c r="K22" s="366">
        <f t="shared" si="8"/>
        <v>3099.0190000000002</v>
      </c>
      <c r="L22" s="364">
        <f t="shared" si="9"/>
        <v>2166.6260000000002</v>
      </c>
      <c r="M22" s="362">
        <f>[1]штат!$K13*M$55</f>
        <v>1053.1289999999999</v>
      </c>
      <c r="N22" s="365">
        <f t="shared" si="4"/>
        <v>0.14832802816901408</v>
      </c>
      <c r="O22" s="374">
        <f t="shared" si="11"/>
        <v>1</v>
      </c>
      <c r="P22" s="366">
        <f t="shared" si="11"/>
        <v>3850</v>
      </c>
      <c r="Q22" s="366">
        <f t="shared" si="11"/>
        <v>3099.0190000000002</v>
      </c>
      <c r="R22" s="364">
        <f t="shared" si="11"/>
        <v>2166.6260000000002</v>
      </c>
      <c r="S22" s="362">
        <f>[1]штат!$K13*S$55</f>
        <v>0</v>
      </c>
      <c r="T22" s="365">
        <f t="shared" si="12"/>
        <v>0</v>
      </c>
      <c r="U22" s="420">
        <f t="shared" si="5"/>
        <v>5265.6450000000004</v>
      </c>
      <c r="V22" s="368" t="e">
        <f>#REF!-#REF!-#REF!-#REF!</f>
        <v>#REF!</v>
      </c>
    </row>
    <row r="23" spans="1:22" x14ac:dyDescent="0.2">
      <c r="A23" s="359"/>
      <c r="B23" s="360" t="str">
        <f>[1]штат!A14</f>
        <v>Диспетчер</v>
      </c>
      <c r="C23" s="374">
        <f>[1]штат!B14</f>
        <v>4</v>
      </c>
      <c r="D23" s="366">
        <f>[1]штат!C14</f>
        <v>3106</v>
      </c>
      <c r="E23" s="366">
        <f>[1]штат!I14</f>
        <v>10000.574560000001</v>
      </c>
      <c r="F23" s="364">
        <f>[1]штат!J14</f>
        <v>6991.7302400000008</v>
      </c>
      <c r="G23" s="362">
        <f>[1]штат!$K14*G$55</f>
        <v>13593.843840000001</v>
      </c>
      <c r="H23" s="365">
        <f t="shared" si="3"/>
        <v>0.30482477733229291</v>
      </c>
      <c r="I23" s="374">
        <f t="shared" si="6"/>
        <v>4</v>
      </c>
      <c r="J23" s="366">
        <f t="shared" si="7"/>
        <v>3106</v>
      </c>
      <c r="K23" s="366">
        <f t="shared" si="8"/>
        <v>10000.574560000001</v>
      </c>
      <c r="L23" s="364">
        <f t="shared" si="9"/>
        <v>6991.7302400000008</v>
      </c>
      <c r="M23" s="362">
        <f>[1]штат!$K14*M$55</f>
        <v>3398.4609599999994</v>
      </c>
      <c r="N23" s="365">
        <f t="shared" si="4"/>
        <v>0.47865647323943655</v>
      </c>
      <c r="O23" s="374">
        <f t="shared" si="11"/>
        <v>4</v>
      </c>
      <c r="P23" s="366">
        <f t="shared" si="11"/>
        <v>3106</v>
      </c>
      <c r="Q23" s="366">
        <f t="shared" si="11"/>
        <v>10000.574560000001</v>
      </c>
      <c r="R23" s="364">
        <f t="shared" si="11"/>
        <v>6991.7302400000008</v>
      </c>
      <c r="S23" s="362">
        <f>[1]штат!$K14*S$55</f>
        <v>0</v>
      </c>
      <c r="T23" s="365">
        <f t="shared" si="12"/>
        <v>0</v>
      </c>
      <c r="U23" s="420">
        <f t="shared" si="5"/>
        <v>16992.304800000002</v>
      </c>
      <c r="V23" s="368" t="e">
        <f>#REF!-#REF!-#REF!-#REF!</f>
        <v>#REF!</v>
      </c>
    </row>
    <row r="24" spans="1:22" hidden="1" x14ac:dyDescent="0.2">
      <c r="A24" s="359"/>
      <c r="B24" s="360"/>
      <c r="C24" s="374"/>
      <c r="D24" s="366"/>
      <c r="E24" s="366"/>
      <c r="F24" s="364"/>
      <c r="G24" s="362"/>
      <c r="H24" s="365"/>
      <c r="I24" s="374"/>
      <c r="J24" s="366"/>
      <c r="K24" s="366"/>
      <c r="L24" s="364"/>
      <c r="M24" s="362"/>
      <c r="N24" s="365"/>
      <c r="O24" s="374"/>
      <c r="P24" s="366"/>
      <c r="Q24" s="366"/>
      <c r="R24" s="364"/>
      <c r="S24" s="362"/>
      <c r="T24" s="365"/>
      <c r="U24" s="420"/>
      <c r="V24" s="368"/>
    </row>
    <row r="25" spans="1:22" x14ac:dyDescent="0.2">
      <c r="A25" s="359"/>
      <c r="B25" s="360" t="str">
        <f>[1]штат!A15</f>
        <v>Дворник</v>
      </c>
      <c r="C25" s="374">
        <f>[1]штат!B15</f>
        <v>2</v>
      </c>
      <c r="D25" s="366">
        <f>[1]штат!C15</f>
        <v>3480</v>
      </c>
      <c r="E25" s="366">
        <f>[1]штат!I15</f>
        <v>5602.3823999999995</v>
      </c>
      <c r="F25" s="364">
        <f>[1]штат!J15</f>
        <v>3916.8096</v>
      </c>
      <c r="G25" s="362">
        <f>[1]штат!$K15*G$55</f>
        <v>7615.3535999999995</v>
      </c>
      <c r="H25" s="365">
        <f t="shared" ref="H25:H53" si="13">G25/C$4</f>
        <v>0.17076468530527675</v>
      </c>
      <c r="I25" s="374">
        <f t="shared" ref="I25:L26" si="14">C25</f>
        <v>2</v>
      </c>
      <c r="J25" s="366">
        <f t="shared" si="14"/>
        <v>3480</v>
      </c>
      <c r="K25" s="366">
        <f t="shared" si="14"/>
        <v>5602.3823999999995</v>
      </c>
      <c r="L25" s="364">
        <f t="shared" si="14"/>
        <v>3916.8096</v>
      </c>
      <c r="M25" s="362">
        <f>[1]штат!$K15*M$55</f>
        <v>1903.8383999999994</v>
      </c>
      <c r="N25" s="365">
        <f t="shared" ref="N25:N37" si="15">M25/I$4</f>
        <v>0.2681462535211267</v>
      </c>
      <c r="O25" s="374">
        <f t="shared" ref="O25:R26" si="16">I25</f>
        <v>2</v>
      </c>
      <c r="P25" s="366">
        <f t="shared" si="16"/>
        <v>3480</v>
      </c>
      <c r="Q25" s="366">
        <f t="shared" si="16"/>
        <v>5602.3823999999995</v>
      </c>
      <c r="R25" s="364">
        <f t="shared" si="16"/>
        <v>3916.8096</v>
      </c>
      <c r="S25" s="362">
        <f>[1]штат!$K15*S$55</f>
        <v>0</v>
      </c>
      <c r="T25" s="365">
        <f t="shared" ref="T25:T37" si="17">S25/O$4</f>
        <v>0</v>
      </c>
      <c r="U25" s="420">
        <f t="shared" ref="U25:U53" si="18">G25+M25+S25</f>
        <v>9519.1919999999991</v>
      </c>
      <c r="V25" s="368" t="e">
        <f>#REF!-#REF!-#REF!-#REF!</f>
        <v>#REF!</v>
      </c>
    </row>
    <row r="26" spans="1:22" x14ac:dyDescent="0.2">
      <c r="A26" s="398"/>
      <c r="B26" s="399" t="str">
        <f>[1]штат!A16</f>
        <v>Прибиральник</v>
      </c>
      <c r="C26" s="400">
        <f>[1]штат!B16</f>
        <v>5</v>
      </c>
      <c r="D26" s="401">
        <f>[1]штат!C16</f>
        <v>3106</v>
      </c>
      <c r="E26" s="401">
        <f>[1]штат!I16</f>
        <v>12500.718200000001</v>
      </c>
      <c r="F26" s="402">
        <f>[1]штат!J16</f>
        <v>8739.6628000000019</v>
      </c>
      <c r="G26" s="403">
        <f>[1]штат!$K16*G$55</f>
        <v>16992.304800000002</v>
      </c>
      <c r="H26" s="404">
        <f t="shared" si="13"/>
        <v>0.38103097166536615</v>
      </c>
      <c r="I26" s="400">
        <f t="shared" si="14"/>
        <v>5</v>
      </c>
      <c r="J26" s="401">
        <f t="shared" si="14"/>
        <v>3106</v>
      </c>
      <c r="K26" s="401">
        <f t="shared" si="14"/>
        <v>12500.718200000001</v>
      </c>
      <c r="L26" s="402">
        <f t="shared" si="14"/>
        <v>8739.6628000000019</v>
      </c>
      <c r="M26" s="403">
        <f>[1]штат!$K16*M$55</f>
        <v>4248.0761999999995</v>
      </c>
      <c r="N26" s="404">
        <f t="shared" si="15"/>
        <v>0.59832059154929573</v>
      </c>
      <c r="O26" s="400">
        <f t="shared" si="16"/>
        <v>5</v>
      </c>
      <c r="P26" s="401">
        <f t="shared" si="16"/>
        <v>3106</v>
      </c>
      <c r="Q26" s="401">
        <f t="shared" si="16"/>
        <v>12500.718200000001</v>
      </c>
      <c r="R26" s="402">
        <f t="shared" si="16"/>
        <v>8739.6628000000019</v>
      </c>
      <c r="S26" s="403">
        <f>[1]штат!$K16*S$55</f>
        <v>0</v>
      </c>
      <c r="T26" s="404">
        <f t="shared" si="17"/>
        <v>0</v>
      </c>
      <c r="U26" s="447">
        <f t="shared" si="18"/>
        <v>21240.381000000001</v>
      </c>
      <c r="V26" s="368" t="e">
        <f>#REF!-#REF!-#REF!-#REF!</f>
        <v>#REF!</v>
      </c>
    </row>
    <row r="27" spans="1:22" s="353" customFormat="1" x14ac:dyDescent="0.2">
      <c r="A27" s="391">
        <v>2</v>
      </c>
      <c r="B27" s="392" t="s">
        <v>244</v>
      </c>
      <c r="C27" s="393"/>
      <c r="D27" s="393"/>
      <c r="E27" s="394"/>
      <c r="F27" s="392"/>
      <c r="G27" s="396"/>
      <c r="H27" s="365">
        <f t="shared" si="13"/>
        <v>0</v>
      </c>
      <c r="I27" s="393"/>
      <c r="J27" s="393"/>
      <c r="K27" s="394"/>
      <c r="L27" s="392"/>
      <c r="M27" s="396"/>
      <c r="N27" s="365">
        <f t="shared" si="15"/>
        <v>0</v>
      </c>
      <c r="O27" s="393"/>
      <c r="P27" s="393"/>
      <c r="Q27" s="394"/>
      <c r="R27" s="392"/>
      <c r="S27" s="396"/>
      <c r="T27" s="365">
        <f t="shared" si="17"/>
        <v>0</v>
      </c>
      <c r="U27" s="446">
        <f t="shared" si="18"/>
        <v>0</v>
      </c>
      <c r="V27" s="368" t="e">
        <f>#REF!-#REF!-#REF!-#REF!</f>
        <v>#REF!</v>
      </c>
    </row>
    <row r="28" spans="1:22" x14ac:dyDescent="0.2">
      <c r="A28" s="398"/>
      <c r="B28" s="399" t="s">
        <v>247</v>
      </c>
      <c r="C28" s="400"/>
      <c r="D28" s="400"/>
      <c r="E28" s="400"/>
      <c r="F28" s="399"/>
      <c r="G28" s="403">
        <v>27000</v>
      </c>
      <c r="H28" s="404">
        <f t="shared" si="13"/>
        <v>0.60544089551435565</v>
      </c>
      <c r="I28" s="400"/>
      <c r="J28" s="400"/>
      <c r="K28" s="400"/>
      <c r="L28" s="399"/>
      <c r="M28" s="403">
        <v>16000</v>
      </c>
      <c r="N28" s="404">
        <f t="shared" si="15"/>
        <v>2.2535211267605635</v>
      </c>
      <c r="O28" s="400"/>
      <c r="P28" s="400"/>
      <c r="Q28" s="400"/>
      <c r="R28" s="399"/>
      <c r="S28" s="403">
        <v>7000</v>
      </c>
      <c r="T28" s="404">
        <f t="shared" si="17"/>
        <v>7.291666666666667</v>
      </c>
      <c r="U28" s="447">
        <f t="shared" si="18"/>
        <v>50000</v>
      </c>
      <c r="V28" s="368" t="e">
        <f>#REF!-#REF!-#REF!-#REF!</f>
        <v>#REF!</v>
      </c>
    </row>
    <row r="29" spans="1:22" s="353" customFormat="1" hidden="1" x14ac:dyDescent="0.2">
      <c r="A29" s="405">
        <v>3</v>
      </c>
      <c r="B29" s="406" t="s">
        <v>347</v>
      </c>
      <c r="C29" s="407"/>
      <c r="D29" s="407"/>
      <c r="E29" s="407"/>
      <c r="F29" s="406"/>
      <c r="G29" s="408"/>
      <c r="H29" s="409">
        <f t="shared" si="13"/>
        <v>0</v>
      </c>
      <c r="I29" s="407"/>
      <c r="J29" s="407"/>
      <c r="K29" s="407"/>
      <c r="L29" s="406"/>
      <c r="M29" s="408"/>
      <c r="N29" s="409">
        <f t="shared" si="15"/>
        <v>0</v>
      </c>
      <c r="O29" s="407"/>
      <c r="P29" s="407"/>
      <c r="Q29" s="407"/>
      <c r="R29" s="406"/>
      <c r="S29" s="408"/>
      <c r="T29" s="409">
        <f t="shared" si="17"/>
        <v>0</v>
      </c>
      <c r="U29" s="448">
        <f t="shared" si="18"/>
        <v>0</v>
      </c>
      <c r="V29" s="368" t="e">
        <f>#REF!-#REF!-#REF!-#REF!</f>
        <v>#REF!</v>
      </c>
    </row>
    <row r="30" spans="1:22" s="353" customFormat="1" x14ac:dyDescent="0.2">
      <c r="A30" s="391">
        <v>3</v>
      </c>
      <c r="B30" s="392" t="s">
        <v>353</v>
      </c>
      <c r="C30" s="393"/>
      <c r="D30" s="393"/>
      <c r="E30" s="393"/>
      <c r="F30" s="392"/>
      <c r="G30" s="396"/>
      <c r="H30" s="397">
        <f t="shared" si="13"/>
        <v>0</v>
      </c>
      <c r="I30" s="393"/>
      <c r="J30" s="393"/>
      <c r="K30" s="393"/>
      <c r="L30" s="392"/>
      <c r="M30" s="396"/>
      <c r="N30" s="397">
        <f t="shared" si="15"/>
        <v>0</v>
      </c>
      <c r="O30" s="393"/>
      <c r="P30" s="393"/>
      <c r="Q30" s="393"/>
      <c r="R30" s="392"/>
      <c r="S30" s="396"/>
      <c r="T30" s="397">
        <f t="shared" si="17"/>
        <v>0</v>
      </c>
      <c r="U30" s="446">
        <f t="shared" si="18"/>
        <v>0</v>
      </c>
      <c r="V30" s="368" t="e">
        <f>#REF!-#REF!-#REF!-#REF!</f>
        <v>#REF!</v>
      </c>
    </row>
    <row r="31" spans="1:22" s="415" customFormat="1" x14ac:dyDescent="0.2">
      <c r="A31" s="410"/>
      <c r="B31" s="411" t="s">
        <v>254</v>
      </c>
      <c r="C31" s="412">
        <f>425624/12</f>
        <v>35468.666666666664</v>
      </c>
      <c r="D31" s="413"/>
      <c r="E31" s="413"/>
      <c r="F31" s="411"/>
      <c r="G31" s="412">
        <v>9400</v>
      </c>
      <c r="H31" s="414">
        <f t="shared" si="13"/>
        <v>0.21078312658647938</v>
      </c>
      <c r="I31" s="412"/>
      <c r="J31" s="413"/>
      <c r="K31" s="413"/>
      <c r="L31" s="411"/>
      <c r="M31" s="412"/>
      <c r="N31" s="365">
        <f t="shared" si="15"/>
        <v>0</v>
      </c>
      <c r="O31" s="412"/>
      <c r="P31" s="413"/>
      <c r="Q31" s="413"/>
      <c r="R31" s="411"/>
      <c r="S31" s="412"/>
      <c r="T31" s="365">
        <f t="shared" si="17"/>
        <v>0</v>
      </c>
      <c r="U31" s="367">
        <f t="shared" si="18"/>
        <v>9400</v>
      </c>
      <c r="V31" s="368" t="e">
        <f>#REF!-#REF!-#REF!-#REF!</f>
        <v>#REF!</v>
      </c>
    </row>
    <row r="32" spans="1:22" s="415" customFormat="1" x14ac:dyDescent="0.2">
      <c r="A32" s="410"/>
      <c r="B32" s="411" t="s">
        <v>253</v>
      </c>
      <c r="C32" s="413"/>
      <c r="D32" s="413"/>
      <c r="E32" s="413"/>
      <c r="F32" s="411"/>
      <c r="G32" s="412">
        <f>630*16+1120</f>
        <v>11200</v>
      </c>
      <c r="H32" s="414">
        <f t="shared" si="13"/>
        <v>0.25114585295410308</v>
      </c>
      <c r="I32" s="413"/>
      <c r="J32" s="413"/>
      <c r="K32" s="413"/>
      <c r="L32" s="411"/>
      <c r="M32" s="412"/>
      <c r="N32" s="365">
        <f t="shared" si="15"/>
        <v>0</v>
      </c>
      <c r="O32" s="413"/>
      <c r="P32" s="413"/>
      <c r="Q32" s="413"/>
      <c r="R32" s="411"/>
      <c r="S32" s="412"/>
      <c r="T32" s="365">
        <f t="shared" si="17"/>
        <v>0</v>
      </c>
      <c r="U32" s="367">
        <f t="shared" si="18"/>
        <v>11200</v>
      </c>
      <c r="V32" s="368" t="e">
        <f>#REF!-#REF!-#REF!-#REF!</f>
        <v>#REF!</v>
      </c>
    </row>
    <row r="33" spans="1:22" s="415" customFormat="1" x14ac:dyDescent="0.2">
      <c r="A33" s="410"/>
      <c r="B33" s="411" t="s">
        <v>256</v>
      </c>
      <c r="C33" s="412">
        <f>(11+9)*8*24*365*0.5/12/2.2</f>
        <v>26545.454545454544</v>
      </c>
      <c r="D33" s="371">
        <v>0.4194</v>
      </c>
      <c r="E33" s="374"/>
      <c r="F33" s="360"/>
      <c r="G33" s="370">
        <f>C33*D33</f>
        <v>11133.163636363635</v>
      </c>
      <c r="H33" s="414">
        <f t="shared" si="13"/>
        <v>0.24964713192251334</v>
      </c>
      <c r="I33" s="412"/>
      <c r="J33" s="413"/>
      <c r="K33" s="413"/>
      <c r="L33" s="411"/>
      <c r="M33" s="412"/>
      <c r="N33" s="365">
        <f t="shared" si="15"/>
        <v>0</v>
      </c>
      <c r="O33" s="412"/>
      <c r="P33" s="413"/>
      <c r="Q33" s="413"/>
      <c r="R33" s="411"/>
      <c r="S33" s="412"/>
      <c r="T33" s="365">
        <f t="shared" si="17"/>
        <v>0</v>
      </c>
      <c r="U33" s="367">
        <f t="shared" si="18"/>
        <v>11133.163636363635</v>
      </c>
      <c r="V33" s="368" t="e">
        <f>#REF!-#REF!-#REF!-#REF!</f>
        <v>#REF!</v>
      </c>
    </row>
    <row r="34" spans="1:22" s="415" customFormat="1" x14ac:dyDescent="0.2">
      <c r="A34" s="410"/>
      <c r="B34" s="411" t="s">
        <v>255</v>
      </c>
      <c r="C34" s="412">
        <f>(32120+168192)/12/2.2</f>
        <v>7587.575757575758</v>
      </c>
      <c r="D34" s="371">
        <v>0.4194</v>
      </c>
      <c r="E34" s="374"/>
      <c r="F34" s="360"/>
      <c r="G34" s="370">
        <f>C34*D34</f>
        <v>3182.2292727272729</v>
      </c>
      <c r="H34" s="414">
        <f t="shared" si="13"/>
        <v>7.1357471874518408E-2</v>
      </c>
      <c r="I34" s="412"/>
      <c r="J34" s="413"/>
      <c r="K34" s="413"/>
      <c r="L34" s="411"/>
      <c r="M34" s="412"/>
      <c r="N34" s="365">
        <f t="shared" si="15"/>
        <v>0</v>
      </c>
      <c r="O34" s="412"/>
      <c r="P34" s="413"/>
      <c r="Q34" s="413"/>
      <c r="R34" s="411"/>
      <c r="S34" s="412"/>
      <c r="T34" s="365">
        <f t="shared" si="17"/>
        <v>0</v>
      </c>
      <c r="U34" s="367">
        <f t="shared" si="18"/>
        <v>3182.2292727272729</v>
      </c>
      <c r="V34" s="368" t="e">
        <f>#REF!-#REF!-#REF!-#REF!</f>
        <v>#REF!</v>
      </c>
    </row>
    <row r="35" spans="1:22" x14ac:dyDescent="0.2">
      <c r="A35" s="416"/>
      <c r="B35" s="360" t="s">
        <v>329</v>
      </c>
      <c r="C35" s="374"/>
      <c r="D35" s="374"/>
      <c r="E35" s="374"/>
      <c r="F35" s="364"/>
      <c r="G35" s="362">
        <f>1500*4/12</f>
        <v>500</v>
      </c>
      <c r="H35" s="365">
        <f t="shared" si="13"/>
        <v>1.1211868435451031E-2</v>
      </c>
      <c r="I35" s="374"/>
      <c r="J35" s="374"/>
      <c r="K35" s="413"/>
      <c r="L35" s="411"/>
      <c r="M35" s="412"/>
      <c r="N35" s="365">
        <f t="shared" si="15"/>
        <v>0</v>
      </c>
      <c r="O35" s="412"/>
      <c r="P35" s="413"/>
      <c r="Q35" s="413"/>
      <c r="R35" s="411"/>
      <c r="S35" s="362"/>
      <c r="T35" s="365">
        <f t="shared" si="17"/>
        <v>0</v>
      </c>
      <c r="U35" s="367">
        <f t="shared" si="18"/>
        <v>500</v>
      </c>
    </row>
    <row r="36" spans="1:22" x14ac:dyDescent="0.2">
      <c r="A36" s="416"/>
      <c r="B36" s="417" t="s">
        <v>332</v>
      </c>
      <c r="C36" s="374"/>
      <c r="D36" s="374"/>
      <c r="E36" s="374"/>
      <c r="F36" s="364"/>
      <c r="G36" s="362">
        <f>20000/12</f>
        <v>1666.6666666666667</v>
      </c>
      <c r="H36" s="365">
        <f t="shared" si="13"/>
        <v>3.7372894784836776E-2</v>
      </c>
      <c r="I36" s="374"/>
      <c r="J36" s="374"/>
      <c r="K36" s="413"/>
      <c r="L36" s="411"/>
      <c r="M36" s="412"/>
      <c r="N36" s="365">
        <f t="shared" si="15"/>
        <v>0</v>
      </c>
      <c r="O36" s="412"/>
      <c r="P36" s="413"/>
      <c r="Q36" s="413"/>
      <c r="R36" s="411"/>
      <c r="S36" s="362"/>
      <c r="T36" s="365">
        <f t="shared" si="17"/>
        <v>0</v>
      </c>
      <c r="U36" s="367">
        <f t="shared" si="18"/>
        <v>1666.6666666666667</v>
      </c>
    </row>
    <row r="37" spans="1:22" x14ac:dyDescent="0.2">
      <c r="A37" s="359"/>
      <c r="B37" s="360" t="s">
        <v>346</v>
      </c>
      <c r="C37" s="374">
        <v>183.3</v>
      </c>
      <c r="D37" s="418">
        <f>3.576</f>
        <v>3.5760000000000001</v>
      </c>
      <c r="E37" s="374"/>
      <c r="F37" s="360"/>
      <c r="G37" s="362">
        <f>D37*C37</f>
        <v>655.48080000000004</v>
      </c>
      <c r="H37" s="365">
        <f t="shared" si="13"/>
        <v>1.4698328983128383E-2</v>
      </c>
      <c r="I37" s="374"/>
      <c r="J37" s="374"/>
      <c r="K37" s="413"/>
      <c r="L37" s="411"/>
      <c r="M37" s="412"/>
      <c r="N37" s="365">
        <f t="shared" si="15"/>
        <v>0</v>
      </c>
      <c r="O37" s="412"/>
      <c r="P37" s="413"/>
      <c r="Q37" s="413"/>
      <c r="R37" s="411"/>
      <c r="S37" s="362"/>
      <c r="T37" s="365">
        <f t="shared" si="17"/>
        <v>0</v>
      </c>
      <c r="U37" s="367">
        <f t="shared" si="18"/>
        <v>655.48080000000004</v>
      </c>
      <c r="V37" s="368" t="e">
        <f>#REF!-#REF!-#REF!-#REF!</f>
        <v>#REF!</v>
      </c>
    </row>
    <row r="38" spans="1:22" x14ac:dyDescent="0.2">
      <c r="A38" s="359"/>
      <c r="B38" s="360" t="s">
        <v>336</v>
      </c>
      <c r="C38" s="374">
        <v>300</v>
      </c>
      <c r="D38" s="419">
        <v>0.38</v>
      </c>
      <c r="E38" s="374"/>
      <c r="F38" s="360"/>
      <c r="G38" s="362">
        <f>D38*C38</f>
        <v>114</v>
      </c>
      <c r="H38" s="365">
        <f t="shared" si="13"/>
        <v>2.5563060032828353E-3</v>
      </c>
      <c r="I38" s="374"/>
      <c r="J38" s="374"/>
      <c r="K38" s="374"/>
      <c r="L38" s="420"/>
      <c r="M38" s="362"/>
      <c r="N38" s="365"/>
      <c r="O38" s="374"/>
      <c r="P38" s="374"/>
      <c r="Q38" s="374"/>
      <c r="R38" s="420"/>
      <c r="S38" s="362"/>
      <c r="T38" s="365"/>
      <c r="U38" s="420">
        <f t="shared" si="18"/>
        <v>114</v>
      </c>
      <c r="V38" s="368" t="e">
        <f>#REF!-#REF!-#REF!-#REF!</f>
        <v>#REF!</v>
      </c>
    </row>
    <row r="39" spans="1:22" x14ac:dyDescent="0.2">
      <c r="A39" s="359"/>
      <c r="B39" s="411" t="s">
        <v>257</v>
      </c>
      <c r="C39" s="374"/>
      <c r="D39" s="374"/>
      <c r="E39" s="374"/>
      <c r="F39" s="360"/>
      <c r="G39" s="362">
        <v>8000</v>
      </c>
      <c r="H39" s="365">
        <f t="shared" si="13"/>
        <v>0.1793898949672165</v>
      </c>
      <c r="I39" s="374"/>
      <c r="J39" s="374"/>
      <c r="K39" s="374"/>
      <c r="L39" s="360"/>
      <c r="M39" s="362"/>
      <c r="N39" s="365">
        <f t="shared" ref="N39:N53" si="19">M39/I$4</f>
        <v>0</v>
      </c>
      <c r="O39" s="374"/>
      <c r="P39" s="374"/>
      <c r="Q39" s="374"/>
      <c r="R39" s="360"/>
      <c r="S39" s="362"/>
      <c r="T39" s="365">
        <f t="shared" ref="T39:T53" si="20">S39/O$4</f>
        <v>0</v>
      </c>
      <c r="U39" s="420">
        <f t="shared" si="18"/>
        <v>8000</v>
      </c>
      <c r="V39" s="368" t="e">
        <f>#REF!-#REF!-#REF!-#REF!</f>
        <v>#REF!</v>
      </c>
    </row>
    <row r="40" spans="1:22" x14ac:dyDescent="0.2">
      <c r="A40" s="359"/>
      <c r="B40" s="360" t="s">
        <v>337</v>
      </c>
      <c r="C40" s="374"/>
      <c r="D40" s="374"/>
      <c r="E40" s="374"/>
      <c r="F40" s="360"/>
      <c r="G40" s="362">
        <v>4000</v>
      </c>
      <c r="H40" s="365">
        <f t="shared" si="13"/>
        <v>8.9694947483608248E-2</v>
      </c>
      <c r="I40" s="374"/>
      <c r="J40" s="374"/>
      <c r="K40" s="374"/>
      <c r="L40" s="360"/>
      <c r="M40" s="362"/>
      <c r="N40" s="365">
        <f t="shared" si="19"/>
        <v>0</v>
      </c>
      <c r="O40" s="374"/>
      <c r="P40" s="374"/>
      <c r="Q40" s="374"/>
      <c r="R40" s="360"/>
      <c r="S40" s="362"/>
      <c r="T40" s="365">
        <f t="shared" si="20"/>
        <v>0</v>
      </c>
      <c r="U40" s="420">
        <f t="shared" si="18"/>
        <v>4000</v>
      </c>
      <c r="V40" s="368" t="e">
        <f>#REF!-#REF!-#REF!-#REF!</f>
        <v>#REF!</v>
      </c>
    </row>
    <row r="41" spans="1:22" x14ac:dyDescent="0.2">
      <c r="A41" s="359"/>
      <c r="B41" s="360" t="s">
        <v>338</v>
      </c>
      <c r="C41" s="374"/>
      <c r="D41" s="374"/>
      <c r="E41" s="374"/>
      <c r="F41" s="360"/>
      <c r="G41" s="362">
        <v>129</v>
      </c>
      <c r="H41" s="365">
        <f t="shared" si="13"/>
        <v>2.8926620563463662E-3</v>
      </c>
      <c r="I41" s="374"/>
      <c r="J41" s="374"/>
      <c r="K41" s="374"/>
      <c r="L41" s="360"/>
      <c r="M41" s="362"/>
      <c r="N41" s="365">
        <f t="shared" si="19"/>
        <v>0</v>
      </c>
      <c r="O41" s="374"/>
      <c r="P41" s="374"/>
      <c r="Q41" s="374"/>
      <c r="R41" s="360"/>
      <c r="S41" s="362"/>
      <c r="T41" s="365">
        <f t="shared" si="20"/>
        <v>0</v>
      </c>
      <c r="U41" s="420">
        <f t="shared" si="18"/>
        <v>129</v>
      </c>
      <c r="V41" s="368" t="e">
        <f>#REF!-#REF!-#REF!-#REF!</f>
        <v>#REF!</v>
      </c>
    </row>
    <row r="42" spans="1:22" x14ac:dyDescent="0.2">
      <c r="A42" s="416"/>
      <c r="B42" s="360" t="s">
        <v>339</v>
      </c>
      <c r="C42" s="374"/>
      <c r="D42" s="374"/>
      <c r="E42" s="374"/>
      <c r="F42" s="360"/>
      <c r="G42" s="362">
        <v>250</v>
      </c>
      <c r="H42" s="365">
        <f t="shared" si="13"/>
        <v>5.6059342177255155E-3</v>
      </c>
      <c r="I42" s="374"/>
      <c r="J42" s="374"/>
      <c r="K42" s="374"/>
      <c r="L42" s="360"/>
      <c r="M42" s="362"/>
      <c r="N42" s="365">
        <f t="shared" si="19"/>
        <v>0</v>
      </c>
      <c r="O42" s="374"/>
      <c r="P42" s="374"/>
      <c r="Q42" s="374"/>
      <c r="R42" s="360"/>
      <c r="S42" s="362"/>
      <c r="T42" s="365">
        <f t="shared" si="20"/>
        <v>0</v>
      </c>
      <c r="U42" s="420">
        <f t="shared" si="18"/>
        <v>250</v>
      </c>
      <c r="V42" s="368" t="e">
        <f>#REF!-#REF!-#REF!-#REF!</f>
        <v>#REF!</v>
      </c>
    </row>
    <row r="43" spans="1:22" x14ac:dyDescent="0.2">
      <c r="A43" s="416"/>
      <c r="B43" s="360" t="s">
        <v>340</v>
      </c>
      <c r="C43" s="374"/>
      <c r="D43" s="374"/>
      <c r="E43" s="374"/>
      <c r="F43" s="360"/>
      <c r="G43" s="362">
        <v>12</v>
      </c>
      <c r="H43" s="365">
        <f t="shared" si="13"/>
        <v>2.6908484245082476E-4</v>
      </c>
      <c r="I43" s="374"/>
      <c r="J43" s="374"/>
      <c r="K43" s="374"/>
      <c r="L43" s="360"/>
      <c r="M43" s="362"/>
      <c r="N43" s="365">
        <f t="shared" si="19"/>
        <v>0</v>
      </c>
      <c r="O43" s="374"/>
      <c r="P43" s="374"/>
      <c r="Q43" s="374"/>
      <c r="R43" s="360"/>
      <c r="S43" s="362"/>
      <c r="T43" s="365">
        <f t="shared" si="20"/>
        <v>0</v>
      </c>
      <c r="U43" s="420">
        <f t="shared" si="18"/>
        <v>12</v>
      </c>
      <c r="V43" s="368" t="e">
        <f>#REF!-#REF!-#REF!-#REF!</f>
        <v>#REF!</v>
      </c>
    </row>
    <row r="44" spans="1:22" x14ac:dyDescent="0.2">
      <c r="A44" s="416"/>
      <c r="B44" s="360" t="s">
        <v>341</v>
      </c>
      <c r="C44" s="374"/>
      <c r="D44" s="374"/>
      <c r="E44" s="374"/>
      <c r="F44" s="360"/>
      <c r="G44" s="362">
        <v>353.35078424244398</v>
      </c>
      <c r="H44" s="365">
        <f t="shared" si="13"/>
        <v>7.9234450089794503E-3</v>
      </c>
      <c r="I44" s="374"/>
      <c r="J44" s="374"/>
      <c r="K44" s="374"/>
      <c r="L44" s="360"/>
      <c r="M44" s="362"/>
      <c r="N44" s="365">
        <f t="shared" si="19"/>
        <v>0</v>
      </c>
      <c r="O44" s="374"/>
      <c r="P44" s="374"/>
      <c r="Q44" s="374"/>
      <c r="R44" s="360"/>
      <c r="S44" s="362"/>
      <c r="T44" s="365">
        <f t="shared" si="20"/>
        <v>0</v>
      </c>
      <c r="U44" s="420">
        <f t="shared" si="18"/>
        <v>353.35078424244398</v>
      </c>
      <c r="V44" s="368" t="e">
        <f>#REF!-#REF!-#REF!-#REF!</f>
        <v>#REF!</v>
      </c>
    </row>
    <row r="45" spans="1:22" x14ac:dyDescent="0.2">
      <c r="A45" s="416"/>
      <c r="B45" s="360" t="s">
        <v>342</v>
      </c>
      <c r="C45" s="374"/>
      <c r="D45" s="374"/>
      <c r="E45" s="374"/>
      <c r="F45" s="360"/>
      <c r="G45" s="362">
        <f>600+300</f>
        <v>900</v>
      </c>
      <c r="H45" s="365">
        <f t="shared" si="13"/>
        <v>2.0181363183811855E-2</v>
      </c>
      <c r="I45" s="374"/>
      <c r="J45" s="374"/>
      <c r="K45" s="374"/>
      <c r="L45" s="360"/>
      <c r="M45" s="362"/>
      <c r="N45" s="365">
        <f t="shared" si="19"/>
        <v>0</v>
      </c>
      <c r="O45" s="374"/>
      <c r="P45" s="374"/>
      <c r="Q45" s="374"/>
      <c r="R45" s="360"/>
      <c r="S45" s="362"/>
      <c r="T45" s="365">
        <f t="shared" si="20"/>
        <v>0</v>
      </c>
      <c r="U45" s="420">
        <f t="shared" si="18"/>
        <v>900</v>
      </c>
      <c r="V45" s="368" t="e">
        <f>#REF!-#REF!-#REF!-#REF!</f>
        <v>#REF!</v>
      </c>
    </row>
    <row r="46" spans="1:22" x14ac:dyDescent="0.2">
      <c r="A46" s="416"/>
      <c r="B46" s="360" t="s">
        <v>343</v>
      </c>
      <c r="C46" s="374"/>
      <c r="D46" s="374"/>
      <c r="E46" s="374"/>
      <c r="F46" s="360"/>
      <c r="G46" s="362">
        <v>5000</v>
      </c>
      <c r="H46" s="373">
        <f t="shared" si="13"/>
        <v>0.11211868435451032</v>
      </c>
      <c r="I46" s="374"/>
      <c r="J46" s="374"/>
      <c r="K46" s="374"/>
      <c r="L46" s="360"/>
      <c r="M46" s="362"/>
      <c r="N46" s="373">
        <f t="shared" si="19"/>
        <v>0</v>
      </c>
      <c r="O46" s="374"/>
      <c r="P46" s="374"/>
      <c r="Q46" s="374"/>
      <c r="R46" s="360"/>
      <c r="S46" s="362"/>
      <c r="T46" s="373">
        <f t="shared" si="20"/>
        <v>0</v>
      </c>
      <c r="U46" s="420">
        <f t="shared" si="18"/>
        <v>5000</v>
      </c>
      <c r="V46" s="368" t="e">
        <f>#REF!-#REF!-#REF!-#REF!</f>
        <v>#REF!</v>
      </c>
    </row>
    <row r="47" spans="1:22" x14ac:dyDescent="0.2">
      <c r="A47" s="416"/>
      <c r="B47" s="360" t="s">
        <v>344</v>
      </c>
      <c r="C47" s="374"/>
      <c r="D47" s="374"/>
      <c r="E47" s="374"/>
      <c r="F47" s="360"/>
      <c r="G47" s="362">
        <v>1000</v>
      </c>
      <c r="H47" s="373">
        <f t="shared" si="13"/>
        <v>2.2423736870902062E-2</v>
      </c>
      <c r="I47" s="374"/>
      <c r="J47" s="374"/>
      <c r="K47" s="374"/>
      <c r="L47" s="360"/>
      <c r="M47" s="362"/>
      <c r="N47" s="373">
        <f t="shared" si="19"/>
        <v>0</v>
      </c>
      <c r="O47" s="374"/>
      <c r="P47" s="374"/>
      <c r="Q47" s="374"/>
      <c r="R47" s="360"/>
      <c r="S47" s="362"/>
      <c r="T47" s="373">
        <f t="shared" si="20"/>
        <v>0</v>
      </c>
      <c r="U47" s="420">
        <f t="shared" si="18"/>
        <v>1000</v>
      </c>
      <c r="V47" s="368" t="e">
        <f>#REF!-#REF!-#REF!-#REF!</f>
        <v>#REF!</v>
      </c>
    </row>
    <row r="48" spans="1:22" x14ac:dyDescent="0.2">
      <c r="A48" s="421"/>
      <c r="B48" s="399" t="s">
        <v>345</v>
      </c>
      <c r="C48" s="400"/>
      <c r="D48" s="400"/>
      <c r="E48" s="400"/>
      <c r="F48" s="399"/>
      <c r="G48" s="403">
        <v>1500</v>
      </c>
      <c r="H48" s="422">
        <f t="shared" si="13"/>
        <v>3.3635605306353095E-2</v>
      </c>
      <c r="I48" s="400"/>
      <c r="J48" s="400"/>
      <c r="K48" s="400"/>
      <c r="L48" s="399"/>
      <c r="M48" s="403"/>
      <c r="N48" s="422">
        <f t="shared" si="19"/>
        <v>0</v>
      </c>
      <c r="O48" s="400"/>
      <c r="P48" s="400"/>
      <c r="Q48" s="400"/>
      <c r="R48" s="399"/>
      <c r="S48" s="403"/>
      <c r="T48" s="422">
        <f t="shared" si="20"/>
        <v>0</v>
      </c>
      <c r="U48" s="447">
        <f t="shared" si="18"/>
        <v>1500</v>
      </c>
      <c r="V48" s="368" t="e">
        <f>#REF!-#REF!-#REF!-#REF!</f>
        <v>#REF!</v>
      </c>
    </row>
    <row r="49" spans="1:22" s="353" customFormat="1" x14ac:dyDescent="0.2">
      <c r="A49" s="391">
        <v>4</v>
      </c>
      <c r="B49" s="392" t="s">
        <v>361</v>
      </c>
      <c r="C49" s="393"/>
      <c r="D49" s="393"/>
      <c r="E49" s="393"/>
      <c r="F49" s="392"/>
      <c r="G49" s="396"/>
      <c r="H49" s="397">
        <f t="shared" si="13"/>
        <v>0</v>
      </c>
      <c r="I49" s="393"/>
      <c r="J49" s="393"/>
      <c r="K49" s="393"/>
      <c r="L49" s="392"/>
      <c r="M49" s="396"/>
      <c r="N49" s="397">
        <f t="shared" si="19"/>
        <v>0</v>
      </c>
      <c r="O49" s="393"/>
      <c r="P49" s="393"/>
      <c r="Q49" s="393"/>
      <c r="R49" s="392"/>
      <c r="S49" s="396"/>
      <c r="T49" s="397">
        <f t="shared" si="20"/>
        <v>0</v>
      </c>
      <c r="U49" s="446">
        <f t="shared" si="18"/>
        <v>0</v>
      </c>
      <c r="V49" s="368" t="e">
        <f>#REF!-#REF!-#REF!-#REF!</f>
        <v>#REF!</v>
      </c>
    </row>
    <row r="50" spans="1:22" x14ac:dyDescent="0.2">
      <c r="A50" s="416"/>
      <c r="B50" s="360" t="s">
        <v>348</v>
      </c>
      <c r="C50" s="374"/>
      <c r="D50" s="374"/>
      <c r="E50" s="374"/>
      <c r="F50" s="360"/>
      <c r="G50" s="362">
        <v>19600</v>
      </c>
      <c r="H50" s="373">
        <f t="shared" si="13"/>
        <v>0.43950524266968044</v>
      </c>
      <c r="I50" s="374"/>
      <c r="J50" s="374"/>
      <c r="K50" s="374"/>
      <c r="L50" s="360"/>
      <c r="M50" s="362">
        <f>M$4*0.05</f>
        <v>2769</v>
      </c>
      <c r="N50" s="373">
        <f t="shared" si="19"/>
        <v>0.39</v>
      </c>
      <c r="O50" s="374"/>
      <c r="P50" s="374"/>
      <c r="Q50" s="374"/>
      <c r="R50" s="360"/>
      <c r="S50" s="362">
        <f>$S$4*0.2</f>
        <v>2112</v>
      </c>
      <c r="T50" s="373">
        <f t="shared" si="20"/>
        <v>2.2000000000000002</v>
      </c>
      <c r="U50" s="420">
        <f t="shared" si="18"/>
        <v>24481</v>
      </c>
      <c r="V50" s="368" t="e">
        <f>#REF!-#REF!-#REF!-#REF!</f>
        <v>#REF!</v>
      </c>
    </row>
    <row r="51" spans="1:22" x14ac:dyDescent="0.2">
      <c r="A51" s="416"/>
      <c r="B51" s="360" t="s">
        <v>349</v>
      </c>
      <c r="C51" s="374"/>
      <c r="D51" s="374"/>
      <c r="E51" s="374"/>
      <c r="F51" s="360"/>
      <c r="G51" s="362">
        <f>G$4*0.1</f>
        <v>22966.734</v>
      </c>
      <c r="H51" s="373">
        <f t="shared" si="13"/>
        <v>0.51500000000000001</v>
      </c>
      <c r="I51" s="374"/>
      <c r="J51" s="374"/>
      <c r="K51" s="374"/>
      <c r="L51" s="360"/>
      <c r="M51" s="362">
        <f>M$4*0.1</f>
        <v>5538</v>
      </c>
      <c r="N51" s="373">
        <f t="shared" si="19"/>
        <v>0.78</v>
      </c>
      <c r="O51" s="374"/>
      <c r="P51" s="374"/>
      <c r="Q51" s="374"/>
      <c r="R51" s="360"/>
      <c r="S51" s="362">
        <f>$S$4*0.3</f>
        <v>3168</v>
      </c>
      <c r="T51" s="373">
        <f t="shared" si="20"/>
        <v>3.3</v>
      </c>
      <c r="U51" s="420">
        <f t="shared" si="18"/>
        <v>31672.734</v>
      </c>
      <c r="V51" s="368" t="e">
        <f>#REF!-#REF!-#REF!-#REF!</f>
        <v>#REF!</v>
      </c>
    </row>
    <row r="52" spans="1:22" x14ac:dyDescent="0.2">
      <c r="A52" s="421"/>
      <c r="B52" s="399" t="s">
        <v>350</v>
      </c>
      <c r="C52" s="400"/>
      <c r="D52" s="400"/>
      <c r="E52" s="400"/>
      <c r="F52" s="399"/>
      <c r="G52" s="403">
        <f>(G50+G51)*0.1508848</f>
        <v>6422.6731462431999</v>
      </c>
      <c r="H52" s="422">
        <f t="shared" si="13"/>
        <v>0.14402033263916619</v>
      </c>
      <c r="I52" s="400"/>
      <c r="J52" s="400"/>
      <c r="K52" s="400"/>
      <c r="L52" s="399"/>
      <c r="M52" s="403">
        <f>M4-M50-M51-M13-M28</f>
        <v>7402.4896400000034</v>
      </c>
      <c r="N52" s="422">
        <f t="shared" si="19"/>
        <v>1.0426041746478878</v>
      </c>
      <c r="O52" s="400"/>
      <c r="P52" s="400"/>
      <c r="Q52" s="400"/>
      <c r="R52" s="399"/>
      <c r="S52" s="403">
        <f>S4+S9-S50-S51-S13-S28</f>
        <v>36680</v>
      </c>
      <c r="T52" s="422">
        <f t="shared" si="20"/>
        <v>38.208333333333336</v>
      </c>
      <c r="U52" s="447">
        <f t="shared" si="18"/>
        <v>50505.162786243207</v>
      </c>
      <c r="V52" s="368"/>
    </row>
    <row r="53" spans="1:22" s="353" customFormat="1" x14ac:dyDescent="0.2">
      <c r="A53" s="423"/>
      <c r="B53" s="406" t="s">
        <v>322</v>
      </c>
      <c r="C53" s="407"/>
      <c r="D53" s="407"/>
      <c r="E53" s="407"/>
      <c r="F53" s="406"/>
      <c r="G53" s="408">
        <f>SUM(G14:G52)</f>
        <v>229667.3397462432</v>
      </c>
      <c r="H53" s="470">
        <f t="shared" si="13"/>
        <v>5.1499999943098249</v>
      </c>
      <c r="I53" s="407"/>
      <c r="J53" s="407"/>
      <c r="K53" s="407"/>
      <c r="L53" s="406"/>
      <c r="M53" s="408">
        <f>SUM(M14:M52)</f>
        <v>55380</v>
      </c>
      <c r="N53" s="409">
        <f t="shared" si="19"/>
        <v>7.8</v>
      </c>
      <c r="O53" s="407"/>
      <c r="P53" s="407"/>
      <c r="Q53" s="407"/>
      <c r="R53" s="406"/>
      <c r="S53" s="408">
        <f>SUM(S14:S52)</f>
        <v>48960</v>
      </c>
      <c r="T53" s="409">
        <f t="shared" si="20"/>
        <v>51</v>
      </c>
      <c r="U53" s="448">
        <f t="shared" si="18"/>
        <v>334007.3397462432</v>
      </c>
      <c r="V53" s="368" t="e">
        <f>#REF!-#REF!-#REF!-#REF!</f>
        <v>#REF!</v>
      </c>
    </row>
    <row r="54" spans="1:22" hidden="1" outlineLevel="1" x14ac:dyDescent="0.2">
      <c r="A54" s="416"/>
      <c r="B54" s="374"/>
      <c r="C54" s="374"/>
      <c r="D54" s="374"/>
      <c r="E54" s="374"/>
      <c r="F54" s="374"/>
      <c r="G54" s="362">
        <f>G4-G53</f>
        <v>2.5375679251737893E-4</v>
      </c>
      <c r="H54" s="362">
        <f>D4-H53</f>
        <v>5.6901754419413919E-9</v>
      </c>
      <c r="I54" s="362"/>
      <c r="J54" s="362"/>
      <c r="K54" s="362"/>
      <c r="L54" s="362"/>
      <c r="M54" s="362">
        <f>M4-M53</f>
        <v>0</v>
      </c>
      <c r="N54" s="362">
        <f>J4-N53</f>
        <v>0</v>
      </c>
      <c r="O54" s="362"/>
      <c r="P54" s="362"/>
      <c r="Q54" s="362"/>
      <c r="R54" s="362"/>
      <c r="S54" s="362">
        <f>S4+S9-S53</f>
        <v>0</v>
      </c>
      <c r="T54" s="362">
        <f>T4+T9-T53</f>
        <v>0</v>
      </c>
      <c r="U54" s="420">
        <f>U4+U9-U53</f>
        <v>2.5375676341354847E-4</v>
      </c>
    </row>
    <row r="55" spans="1:22" s="425" customFormat="1" hidden="1" outlineLevel="1" x14ac:dyDescent="0.2">
      <c r="A55" s="424"/>
      <c r="B55" s="363" t="s">
        <v>307</v>
      </c>
      <c r="C55" s="363"/>
      <c r="D55" s="363"/>
      <c r="E55" s="363"/>
      <c r="F55" s="363"/>
      <c r="G55" s="363">
        <v>0.8</v>
      </c>
      <c r="H55" s="363"/>
      <c r="I55" s="363"/>
      <c r="J55" s="363"/>
      <c r="K55" s="363"/>
      <c r="L55" s="363"/>
      <c r="M55" s="363">
        <f>1-G55</f>
        <v>0.19999999999999996</v>
      </c>
      <c r="N55" s="363"/>
      <c r="O55" s="363"/>
      <c r="P55" s="363"/>
      <c r="Q55" s="363"/>
      <c r="R55" s="363"/>
      <c r="S55" s="363"/>
      <c r="T55" s="363"/>
      <c r="U55" s="449"/>
    </row>
    <row r="56" spans="1:22" s="425" customFormat="1" hidden="1" outlineLevel="1" x14ac:dyDescent="0.2">
      <c r="A56" s="424"/>
      <c r="B56" s="363"/>
      <c r="C56" s="363"/>
      <c r="D56" s="363"/>
      <c r="E56" s="363"/>
      <c r="F56" s="363"/>
      <c r="G56" s="363">
        <f>G5/$U5</f>
        <v>0.96675640209125158</v>
      </c>
      <c r="H56" s="363"/>
      <c r="I56" s="363"/>
      <c r="J56" s="363"/>
      <c r="K56" s="363"/>
      <c r="L56" s="363"/>
      <c r="M56" s="363">
        <f>M5/$U5</f>
        <v>5.7316548118531768E-3</v>
      </c>
      <c r="N56" s="363"/>
      <c r="O56" s="363"/>
      <c r="P56" s="363"/>
      <c r="Q56" s="363"/>
      <c r="R56" s="363"/>
      <c r="S56" s="363">
        <f>S5/$U5</f>
        <v>2.7511943096895249E-2</v>
      </c>
      <c r="T56" s="363"/>
      <c r="U56" s="449">
        <f>U5/$U5</f>
        <v>1</v>
      </c>
    </row>
    <row r="57" spans="1:22" s="353" customFormat="1" collapsed="1" x14ac:dyDescent="0.2">
      <c r="A57" s="386" t="s">
        <v>323</v>
      </c>
      <c r="B57" s="387"/>
      <c r="C57" s="388"/>
      <c r="D57" s="388"/>
      <c r="E57" s="388"/>
      <c r="F57" s="387"/>
      <c r="G57" s="389"/>
      <c r="H57" s="390"/>
      <c r="I57" s="388"/>
      <c r="J57" s="388"/>
      <c r="K57" s="388"/>
      <c r="L57" s="387"/>
      <c r="M57" s="389"/>
      <c r="N57" s="390"/>
      <c r="O57" s="388"/>
      <c r="P57" s="388"/>
      <c r="Q57" s="388"/>
      <c r="R57" s="387"/>
      <c r="S57" s="389"/>
      <c r="T57" s="390"/>
      <c r="U57" s="445"/>
      <c r="V57" s="368"/>
    </row>
    <row r="58" spans="1:22" x14ac:dyDescent="0.2">
      <c r="A58" s="359"/>
      <c r="B58" s="411" t="s">
        <v>324</v>
      </c>
      <c r="C58" s="429">
        <f>717.0244715/12*G56</f>
        <v>57.765666523226763</v>
      </c>
      <c r="D58" s="362">
        <v>1309.28</v>
      </c>
      <c r="E58" s="374">
        <f>SUM(E59:E91)</f>
        <v>0</v>
      </c>
      <c r="F58" s="360">
        <f>SUM(F59:F91)</f>
        <v>0</v>
      </c>
      <c r="G58" s="370">
        <f>C58*D58</f>
        <v>75631.431865530336</v>
      </c>
      <c r="H58" s="365">
        <f t="shared" ref="H58:H64" si="21">G58/C$5</f>
        <v>1.7562320761258745</v>
      </c>
      <c r="I58" s="418">
        <f>717.0244715/12*M56</f>
        <v>0.34247806352412136</v>
      </c>
      <c r="J58" s="362">
        <v>1309.28</v>
      </c>
      <c r="K58" s="413"/>
      <c r="L58" s="411"/>
      <c r="M58" s="370">
        <f>I58*J58</f>
        <v>448.39967901086158</v>
      </c>
      <c r="N58" s="365">
        <f t="shared" ref="N58:N64" si="22">M58/I$5</f>
        <v>2.2419983950543081</v>
      </c>
      <c r="O58" s="418">
        <f>717.0244715/12*S56</f>
        <v>1.6438947049157826</v>
      </c>
      <c r="P58" s="362">
        <v>1309.28</v>
      </c>
      <c r="Q58" s="413"/>
      <c r="R58" s="411"/>
      <c r="S58" s="370">
        <f>O58*P58</f>
        <v>2152.3184592521357</v>
      </c>
      <c r="T58" s="365">
        <f t="shared" ref="T58:T64" si="23">S58/O$5</f>
        <v>2.2419983950543081</v>
      </c>
      <c r="U58" s="367">
        <f t="shared" ref="U58:U64" si="24">G58+M58+S58</f>
        <v>78232.150003793329</v>
      </c>
      <c r="V58" s="368" t="e">
        <f>#REF!-#REF!-#REF!-#REF!</f>
        <v>#REF!</v>
      </c>
    </row>
    <row r="59" spans="1:22" x14ac:dyDescent="0.2">
      <c r="A59" s="359"/>
      <c r="B59" s="360" t="s">
        <v>325</v>
      </c>
      <c r="C59" s="374">
        <f>[1]штат!B47</f>
        <v>0</v>
      </c>
      <c r="D59" s="366">
        <f>[1]штат!C47</f>
        <v>0</v>
      </c>
      <c r="E59" s="366">
        <f>[1]штат!I47</f>
        <v>0</v>
      </c>
      <c r="F59" s="364">
        <f>[1]штат!J47</f>
        <v>0</v>
      </c>
      <c r="G59" s="362">
        <f>13892/2*G56</f>
        <v>6715.0899689258331</v>
      </c>
      <c r="H59" s="365">
        <f t="shared" si="21"/>
        <v>0.15593062443226766</v>
      </c>
      <c r="I59" s="374">
        <f t="shared" ref="I59:K61" si="25">C59</f>
        <v>0</v>
      </c>
      <c r="J59" s="366">
        <f t="shared" si="25"/>
        <v>0</v>
      </c>
      <c r="K59" s="366">
        <f t="shared" si="25"/>
        <v>0</v>
      </c>
      <c r="L59" s="411"/>
      <c r="M59" s="362">
        <f>13892/2*M56</f>
        <v>39.812074323132165</v>
      </c>
      <c r="N59" s="365">
        <f t="shared" si="22"/>
        <v>0.19906037161566081</v>
      </c>
      <c r="O59" s="374">
        <f t="shared" ref="O59:Q60" si="26">I59</f>
        <v>0</v>
      </c>
      <c r="P59" s="366">
        <f t="shared" si="26"/>
        <v>0</v>
      </c>
      <c r="Q59" s="366">
        <f t="shared" si="26"/>
        <v>0</v>
      </c>
      <c r="R59" s="411"/>
      <c r="S59" s="362">
        <f>13892/2*S56</f>
        <v>191.09795675103439</v>
      </c>
      <c r="T59" s="365">
        <f t="shared" si="23"/>
        <v>0.19906037161566081</v>
      </c>
      <c r="U59" s="420">
        <f t="shared" si="24"/>
        <v>6945.9999999999991</v>
      </c>
      <c r="V59" s="368" t="e">
        <f>#REF!-#REF!-#REF!-#REF!</f>
        <v>#REF!</v>
      </c>
    </row>
    <row r="60" spans="1:22" x14ac:dyDescent="0.2">
      <c r="A60" s="359"/>
      <c r="B60" s="360" t="s">
        <v>326</v>
      </c>
      <c r="C60" s="374">
        <f>[1]штат!B48</f>
        <v>0</v>
      </c>
      <c r="D60" s="366">
        <f>[1]штат!C48</f>
        <v>0</v>
      </c>
      <c r="E60" s="366">
        <f>[1]штат!I48</f>
        <v>0</v>
      </c>
      <c r="F60" s="364">
        <f>[1]штат!J48</f>
        <v>0</v>
      </c>
      <c r="G60" s="362">
        <f>40000/12*G56</f>
        <v>3222.5213403041721</v>
      </c>
      <c r="H60" s="365">
        <f t="shared" si="21"/>
        <v>7.4829937821416476E-2</v>
      </c>
      <c r="I60" s="374">
        <f t="shared" si="25"/>
        <v>0</v>
      </c>
      <c r="J60" s="366">
        <f t="shared" si="25"/>
        <v>0</v>
      </c>
      <c r="K60" s="366">
        <f t="shared" si="25"/>
        <v>0</v>
      </c>
      <c r="L60" s="411"/>
      <c r="M60" s="362">
        <f>40000/12*M56</f>
        <v>19.10551603951059</v>
      </c>
      <c r="N60" s="365">
        <f t="shared" si="22"/>
        <v>9.5527580197552947E-2</v>
      </c>
      <c r="O60" s="374">
        <f t="shared" si="26"/>
        <v>0</v>
      </c>
      <c r="P60" s="366">
        <f t="shared" si="26"/>
        <v>0</v>
      </c>
      <c r="Q60" s="366">
        <f t="shared" si="26"/>
        <v>0</v>
      </c>
      <c r="R60" s="411"/>
      <c r="S60" s="362">
        <f>40000/12*S56</f>
        <v>91.706476989650838</v>
      </c>
      <c r="T60" s="365">
        <f t="shared" si="23"/>
        <v>9.5527580197552961E-2</v>
      </c>
      <c r="U60" s="420">
        <f t="shared" si="24"/>
        <v>3333.3333333333339</v>
      </c>
      <c r="V60" s="368" t="e">
        <f>#REF!-#REF!-#REF!-#REF!</f>
        <v>#REF!</v>
      </c>
    </row>
    <row r="61" spans="1:22" x14ac:dyDescent="0.2">
      <c r="A61" s="359"/>
      <c r="B61" s="360" t="s">
        <v>327</v>
      </c>
      <c r="C61" s="374">
        <f>[1]штат!B49</f>
        <v>0</v>
      </c>
      <c r="D61" s="366">
        <f>[1]штат!C49</f>
        <v>0</v>
      </c>
      <c r="E61" s="366">
        <f>[1]штат!I49</f>
        <v>0</v>
      </c>
      <c r="F61" s="364">
        <f>[1]штат!J49</f>
        <v>0</v>
      </c>
      <c r="G61" s="362">
        <f>6000*2/12*G56</f>
        <v>966.75640209125163</v>
      </c>
      <c r="H61" s="365">
        <f t="shared" si="21"/>
        <v>2.2448981346424944E-2</v>
      </c>
      <c r="I61" s="374">
        <f t="shared" si="25"/>
        <v>0</v>
      </c>
      <c r="J61" s="366">
        <f t="shared" si="25"/>
        <v>0</v>
      </c>
      <c r="K61" s="366">
        <f t="shared" si="25"/>
        <v>0</v>
      </c>
      <c r="L61" s="411"/>
      <c r="M61" s="362">
        <f>6000*2/12*M56</f>
        <v>5.7316548118531765</v>
      </c>
      <c r="N61" s="365">
        <f t="shared" si="22"/>
        <v>2.8658274059265881E-2</v>
      </c>
      <c r="O61" s="374"/>
      <c r="P61" s="366"/>
      <c r="Q61" s="366"/>
      <c r="R61" s="411"/>
      <c r="S61" s="362">
        <f>6000*2/12*S56</f>
        <v>27.511943096895248</v>
      </c>
      <c r="T61" s="365">
        <f t="shared" si="23"/>
        <v>2.8658274059265885E-2</v>
      </c>
      <c r="U61" s="420">
        <f t="shared" si="24"/>
        <v>1000.0000000000001</v>
      </c>
      <c r="V61" s="368" t="e">
        <f>#REF!-#REF!-#REF!-#REF!</f>
        <v>#REF!</v>
      </c>
    </row>
    <row r="62" spans="1:22" x14ac:dyDescent="0.2">
      <c r="A62" s="416"/>
      <c r="B62" s="426" t="s">
        <v>328</v>
      </c>
      <c r="C62" s="374"/>
      <c r="D62" s="374"/>
      <c r="E62" s="374"/>
      <c r="F62" s="364">
        <f>[1]штат!J50</f>
        <v>0</v>
      </c>
      <c r="G62" s="362">
        <f>8000*G56</f>
        <v>7734.051216730013</v>
      </c>
      <c r="H62" s="365">
        <f t="shared" si="21"/>
        <v>0.17959185077139955</v>
      </c>
      <c r="I62" s="374"/>
      <c r="J62" s="374"/>
      <c r="K62" s="374"/>
      <c r="L62" s="411"/>
      <c r="M62" s="362">
        <f>8000*M56</f>
        <v>45.853238494825412</v>
      </c>
      <c r="N62" s="365">
        <f t="shared" si="22"/>
        <v>0.22926619247412705</v>
      </c>
      <c r="O62" s="374"/>
      <c r="P62" s="366"/>
      <c r="Q62" s="366"/>
      <c r="R62" s="411"/>
      <c r="S62" s="362">
        <f>8000*S56</f>
        <v>220.09554477516198</v>
      </c>
      <c r="T62" s="365">
        <f t="shared" si="23"/>
        <v>0.22926619247412708</v>
      </c>
      <c r="U62" s="420">
        <f t="shared" si="24"/>
        <v>8000.0000000000009</v>
      </c>
    </row>
    <row r="63" spans="1:22" x14ac:dyDescent="0.2">
      <c r="A63" s="359"/>
      <c r="B63" s="360" t="s">
        <v>268</v>
      </c>
      <c r="C63" s="374"/>
      <c r="D63" s="374"/>
      <c r="E63" s="374"/>
      <c r="F63" s="360"/>
      <c r="G63" s="362">
        <f>(12800+13424.92+800*4)/12*G56</f>
        <v>2370.5608159185754</v>
      </c>
      <c r="H63" s="365">
        <f t="shared" si="21"/>
        <v>5.5046623350003841E-2</v>
      </c>
      <c r="I63" s="374"/>
      <c r="J63" s="374"/>
      <c r="K63" s="374"/>
      <c r="L63" s="411"/>
      <c r="M63" s="362">
        <f>(12800+13424.92+800*4)/12*M56</f>
        <v>14.054457025532896</v>
      </c>
      <c r="N63" s="365">
        <f t="shared" si="22"/>
        <v>7.027228512766448E-2</v>
      </c>
      <c r="O63" s="374"/>
      <c r="P63" s="366"/>
      <c r="Q63" s="366"/>
      <c r="R63" s="411"/>
      <c r="S63" s="362">
        <f>(12800+13424.92+800*4)/12*S56</f>
        <v>67.461393722557901</v>
      </c>
      <c r="T63" s="365">
        <f t="shared" si="23"/>
        <v>7.027228512766448E-2</v>
      </c>
      <c r="U63" s="420">
        <f t="shared" si="24"/>
        <v>2452.0766666666664</v>
      </c>
      <c r="V63" s="368" t="e">
        <f>#REF!-#REF!-#REF!-#REF!</f>
        <v>#REF!</v>
      </c>
    </row>
    <row r="64" spans="1:22" x14ac:dyDescent="0.2">
      <c r="A64" s="359"/>
      <c r="B64" s="360" t="s">
        <v>334</v>
      </c>
      <c r="C64" s="412">
        <f>11250*G56</f>
        <v>10876.00952352658</v>
      </c>
      <c r="D64" s="371">
        <v>0.4194</v>
      </c>
      <c r="E64" s="374"/>
      <c r="F64" s="360"/>
      <c r="G64" s="370">
        <f>C64*D64</f>
        <v>4561.3983941670476</v>
      </c>
      <c r="H64" s="365">
        <f t="shared" si="21"/>
        <v>0.10591990623776948</v>
      </c>
      <c r="I64" s="412">
        <f>11250*M56</f>
        <v>64.481116633348236</v>
      </c>
      <c r="J64" s="371">
        <v>0.4194</v>
      </c>
      <c r="K64" s="374"/>
      <c r="L64" s="411"/>
      <c r="M64" s="370">
        <f>I64*J64</f>
        <v>27.043380316026251</v>
      </c>
      <c r="N64" s="365">
        <f t="shared" si="22"/>
        <v>0.13521690158013125</v>
      </c>
      <c r="O64" s="412">
        <f>11250*S56</f>
        <v>309.50935984007157</v>
      </c>
      <c r="P64" s="371">
        <v>0.4194</v>
      </c>
      <c r="Q64" s="366"/>
      <c r="R64" s="411"/>
      <c r="S64" s="370">
        <f>O64*P64</f>
        <v>129.808225516926</v>
      </c>
      <c r="T64" s="365">
        <f t="shared" si="23"/>
        <v>0.13521690158013125</v>
      </c>
      <c r="U64" s="420">
        <f t="shared" si="24"/>
        <v>4718.2499999999991</v>
      </c>
      <c r="V64" s="368" t="e">
        <f>#REF!-#REF!-#REF!-#REF!</f>
        <v>#REF!</v>
      </c>
    </row>
    <row r="65" spans="1:22" s="353" customFormat="1" x14ac:dyDescent="0.2">
      <c r="A65" s="375"/>
      <c r="B65" s="376" t="s">
        <v>333</v>
      </c>
      <c r="C65" s="377"/>
      <c r="D65" s="377"/>
      <c r="E65" s="377"/>
      <c r="F65" s="376"/>
      <c r="G65" s="378">
        <f>SUM(G58:G64)</f>
        <v>101201.81000366724</v>
      </c>
      <c r="H65" s="568">
        <f>SUM(H58:H64)</f>
        <v>2.3500000000851564</v>
      </c>
      <c r="I65" s="377"/>
      <c r="J65" s="377"/>
      <c r="K65" s="377"/>
      <c r="L65" s="376"/>
      <c r="M65" s="378">
        <f>SUM(M58:M64)</f>
        <v>600.00000002174204</v>
      </c>
      <c r="N65" s="380">
        <f>SUM(N58:N64)</f>
        <v>3.0000000001087104</v>
      </c>
      <c r="O65" s="377"/>
      <c r="P65" s="377"/>
      <c r="Q65" s="377"/>
      <c r="R65" s="376"/>
      <c r="S65" s="378">
        <f>SUM(S58:S64)</f>
        <v>2880.0000001043627</v>
      </c>
      <c r="T65" s="380">
        <f>SUM(T58:T64)</f>
        <v>3.0000000001087104</v>
      </c>
      <c r="U65" s="443">
        <f>SUM(U58:U64)</f>
        <v>104681.81000379332</v>
      </c>
      <c r="V65" s="368" t="e">
        <f>#REF!-#REF!-#REF!-#REF!</f>
        <v>#REF!</v>
      </c>
    </row>
    <row r="66" spans="1:22" s="353" customFormat="1" x14ac:dyDescent="0.2">
      <c r="A66" s="386" t="s">
        <v>351</v>
      </c>
      <c r="B66" s="387"/>
      <c r="C66" s="388"/>
      <c r="D66" s="388"/>
      <c r="E66" s="388"/>
      <c r="F66" s="387"/>
      <c r="G66" s="389"/>
      <c r="H66" s="390"/>
      <c r="I66" s="388"/>
      <c r="J66" s="388"/>
      <c r="K66" s="388"/>
      <c r="L66" s="387"/>
      <c r="M66" s="389"/>
      <c r="N66" s="390"/>
      <c r="O66" s="388"/>
      <c r="P66" s="388"/>
      <c r="Q66" s="388"/>
      <c r="R66" s="387"/>
      <c r="S66" s="389"/>
      <c r="T66" s="390"/>
      <c r="U66" s="445"/>
      <c r="V66" s="368"/>
    </row>
    <row r="67" spans="1:22" x14ac:dyDescent="0.2">
      <c r="A67" s="416"/>
      <c r="B67" s="360" t="s">
        <v>316</v>
      </c>
      <c r="C67" s="366">
        <f>C6</f>
        <v>200000</v>
      </c>
      <c r="D67" s="371">
        <v>0.4194</v>
      </c>
      <c r="E67" s="366"/>
      <c r="F67" s="364"/>
      <c r="G67" s="370">
        <f>C67*D67</f>
        <v>83880</v>
      </c>
      <c r="H67" s="365">
        <f>G67/C67</f>
        <v>0.4194</v>
      </c>
      <c r="I67" s="366">
        <v>15000</v>
      </c>
      <c r="J67" s="371">
        <f>1.1861*1.2</f>
        <v>1.4233199999999999</v>
      </c>
      <c r="K67" s="372"/>
      <c r="L67" s="373"/>
      <c r="M67" s="362">
        <f>I67*J67</f>
        <v>21349.8</v>
      </c>
      <c r="N67" s="427">
        <f>M67/I67</f>
        <v>1.4233199999999999</v>
      </c>
      <c r="O67" s="374"/>
      <c r="P67" s="366"/>
      <c r="Q67" s="366"/>
      <c r="R67" s="364"/>
      <c r="S67" s="362"/>
      <c r="T67" s="367">
        <f>S67/O$4</f>
        <v>0</v>
      </c>
      <c r="U67" s="420">
        <f>G67+M67+S67</f>
        <v>105229.8</v>
      </c>
    </row>
    <row r="68" spans="1:22" s="353" customFormat="1" x14ac:dyDescent="0.2">
      <c r="A68" s="375"/>
      <c r="B68" s="376" t="s">
        <v>352</v>
      </c>
      <c r="C68" s="377"/>
      <c r="D68" s="377"/>
      <c r="E68" s="377"/>
      <c r="F68" s="376"/>
      <c r="G68" s="378">
        <f>SUM(G67)</f>
        <v>83880</v>
      </c>
      <c r="H68" s="380">
        <f>SUM(H67)</f>
        <v>0.4194</v>
      </c>
      <c r="I68" s="377"/>
      <c r="J68" s="377"/>
      <c r="K68" s="377"/>
      <c r="L68" s="376"/>
      <c r="M68" s="378">
        <f>SUM(M67)</f>
        <v>21349.8</v>
      </c>
      <c r="N68" s="428">
        <f>SUM(N67)</f>
        <v>1.4233199999999999</v>
      </c>
      <c r="O68" s="377"/>
      <c r="P68" s="377"/>
      <c r="Q68" s="377"/>
      <c r="R68" s="376"/>
      <c r="S68" s="378">
        <f>SUM(S67)</f>
        <v>0</v>
      </c>
      <c r="T68" s="380">
        <f>SUM(T67)</f>
        <v>0</v>
      </c>
      <c r="U68" s="443">
        <f>SUM(U67)</f>
        <v>105229.8</v>
      </c>
      <c r="V68" s="368" t="e">
        <f>#REF!-#REF!-#REF!-#REF!</f>
        <v>#REF!</v>
      </c>
    </row>
    <row r="69" spans="1:22" s="353" customFormat="1" x14ac:dyDescent="0.2">
      <c r="A69" s="386" t="s">
        <v>354</v>
      </c>
      <c r="B69" s="387"/>
      <c r="C69" s="388"/>
      <c r="D69" s="388"/>
      <c r="E69" s="388"/>
      <c r="F69" s="387"/>
      <c r="G69" s="389"/>
      <c r="H69" s="390"/>
      <c r="I69" s="388"/>
      <c r="J69" s="388"/>
      <c r="K69" s="388"/>
      <c r="L69" s="387"/>
      <c r="M69" s="389"/>
      <c r="N69" s="390"/>
      <c r="O69" s="388"/>
      <c r="P69" s="388"/>
      <c r="Q69" s="388"/>
      <c r="R69" s="387"/>
      <c r="S69" s="389"/>
      <c r="T69" s="390"/>
      <c r="U69" s="445"/>
      <c r="V69" s="368"/>
    </row>
    <row r="70" spans="1:22" x14ac:dyDescent="0.2">
      <c r="A70" s="359"/>
      <c r="B70" s="360" t="s">
        <v>366</v>
      </c>
      <c r="C70" s="366">
        <f>C7</f>
        <v>5700</v>
      </c>
      <c r="D70" s="429">
        <v>3.5760000000000001</v>
      </c>
      <c r="E70" s="366"/>
      <c r="F70" s="364"/>
      <c r="G70" s="370">
        <f>C70*D70</f>
        <v>20383.2</v>
      </c>
      <c r="H70" s="365">
        <f t="shared" ref="H70:H76" si="27">G70/C$70</f>
        <v>3.5760000000000001</v>
      </c>
      <c r="I70" s="366">
        <f>I7</f>
        <v>10</v>
      </c>
      <c r="J70" s="429">
        <v>3.5760000000000001</v>
      </c>
      <c r="K70" s="366"/>
      <c r="L70" s="364"/>
      <c r="M70" s="370">
        <f>I70*J70</f>
        <v>35.76</v>
      </c>
      <c r="N70" s="365">
        <f t="shared" ref="N70:N76" si="28">M70/I$70</f>
        <v>3.5759999999999996</v>
      </c>
      <c r="O70" s="374"/>
      <c r="P70" s="366"/>
      <c r="Q70" s="366"/>
      <c r="R70" s="364"/>
      <c r="S70" s="362"/>
      <c r="T70" s="367">
        <f>S70/O$4</f>
        <v>0</v>
      </c>
      <c r="U70" s="420">
        <f t="shared" ref="U70:U76" si="29">G70+M70+S70</f>
        <v>20418.96</v>
      </c>
      <c r="V70" s="368"/>
    </row>
    <row r="71" spans="1:22" x14ac:dyDescent="0.2">
      <c r="A71" s="359"/>
      <c r="B71" s="360" t="s">
        <v>330</v>
      </c>
      <c r="C71" s="366"/>
      <c r="D71" s="362"/>
      <c r="E71" s="366"/>
      <c r="F71" s="364"/>
      <c r="G71" s="362">
        <f>500*10*C7/($C$7+$C$8+$I$7+$I$8)</f>
        <v>4991.2434325744307</v>
      </c>
      <c r="H71" s="365">
        <f t="shared" si="27"/>
        <v>0.87565674255691761</v>
      </c>
      <c r="I71" s="366"/>
      <c r="J71" s="362"/>
      <c r="K71" s="366"/>
      <c r="L71" s="364"/>
      <c r="M71" s="362">
        <f>500*10*I7/($C$7+$C$8+$I$7+$I$8)</f>
        <v>8.7565674255691768</v>
      </c>
      <c r="N71" s="365">
        <f t="shared" si="28"/>
        <v>0.87565674255691772</v>
      </c>
      <c r="O71" s="374"/>
      <c r="P71" s="366"/>
      <c r="Q71" s="366"/>
      <c r="R71" s="364"/>
      <c r="S71" s="362"/>
      <c r="T71" s="367"/>
      <c r="U71" s="420">
        <f t="shared" si="29"/>
        <v>5000</v>
      </c>
      <c r="V71" s="368"/>
    </row>
    <row r="72" spans="1:22" x14ac:dyDescent="0.2">
      <c r="A72" s="359"/>
      <c r="B72" s="360" t="s">
        <v>335</v>
      </c>
      <c r="C72" s="366"/>
      <c r="D72" s="362"/>
      <c r="E72" s="366"/>
      <c r="F72" s="364"/>
      <c r="G72" s="362">
        <f>(1500+500)*6/12*C7/($C$7+$C$8+$I$7+$I$8)</f>
        <v>998.24868651488612</v>
      </c>
      <c r="H72" s="365">
        <f t="shared" si="27"/>
        <v>0.17513134851138354</v>
      </c>
      <c r="I72" s="366"/>
      <c r="J72" s="362"/>
      <c r="K72" s="366"/>
      <c r="L72" s="364"/>
      <c r="M72" s="362">
        <f>(1500+500)*6/12*I7/($C$7+$C$8+$I$7+$I$8)</f>
        <v>1.7513134851138354</v>
      </c>
      <c r="N72" s="365">
        <f t="shared" si="28"/>
        <v>0.17513134851138354</v>
      </c>
      <c r="O72" s="374"/>
      <c r="P72" s="366"/>
      <c r="Q72" s="366"/>
      <c r="R72" s="364"/>
      <c r="S72" s="362"/>
      <c r="T72" s="367"/>
      <c r="U72" s="420">
        <f t="shared" si="29"/>
        <v>1000</v>
      </c>
      <c r="V72" s="368"/>
    </row>
    <row r="73" spans="1:22" x14ac:dyDescent="0.2">
      <c r="A73" s="359"/>
      <c r="B73" s="360" t="s">
        <v>331</v>
      </c>
      <c r="C73" s="366"/>
      <c r="D73" s="362"/>
      <c r="E73" s="366"/>
      <c r="F73" s="364"/>
      <c r="G73" s="362">
        <f>1600*C7/($C$7+$C$8+$I$7+$I$8)</f>
        <v>1597.1978984238178</v>
      </c>
      <c r="H73" s="365">
        <f t="shared" si="27"/>
        <v>0.28021015761821366</v>
      </c>
      <c r="I73" s="366"/>
      <c r="J73" s="362"/>
      <c r="K73" s="366"/>
      <c r="L73" s="364"/>
      <c r="M73" s="362">
        <f>1600*I7/($C$7+$C$8+$I$7+$I$8)</f>
        <v>2.8021015761821366</v>
      </c>
      <c r="N73" s="365">
        <f t="shared" si="28"/>
        <v>0.28021015761821366</v>
      </c>
      <c r="O73" s="374"/>
      <c r="P73" s="366"/>
      <c r="Q73" s="366"/>
      <c r="R73" s="364"/>
      <c r="S73" s="362"/>
      <c r="T73" s="367"/>
      <c r="U73" s="420">
        <f t="shared" si="29"/>
        <v>1600</v>
      </c>
      <c r="V73" s="368"/>
    </row>
    <row r="74" spans="1:22" x14ac:dyDescent="0.2">
      <c r="A74" s="359"/>
      <c r="B74" s="360" t="s">
        <v>334</v>
      </c>
      <c r="C74" s="412">
        <f>9000*C7/($C$7+$C$8+$I$7+$I$8)</f>
        <v>8984.2381786339756</v>
      </c>
      <c r="D74" s="371">
        <v>0.4194</v>
      </c>
      <c r="E74" s="374"/>
      <c r="F74" s="360"/>
      <c r="G74" s="370">
        <f>C74*D74</f>
        <v>3767.9894921190894</v>
      </c>
      <c r="H74" s="365">
        <f t="shared" si="27"/>
        <v>0.66105078809106832</v>
      </c>
      <c r="I74" s="412">
        <f>9000*I7/($C$7+$C$8+$I$7+$I$8)</f>
        <v>15.761821366024519</v>
      </c>
      <c r="J74" s="371">
        <v>0.4194</v>
      </c>
      <c r="K74" s="374"/>
      <c r="L74" s="411"/>
      <c r="M74" s="370">
        <f>I74*J74</f>
        <v>6.6105078809106832</v>
      </c>
      <c r="N74" s="365">
        <f t="shared" si="28"/>
        <v>0.66105078809106832</v>
      </c>
      <c r="O74" s="412"/>
      <c r="P74" s="371"/>
      <c r="Q74" s="366"/>
      <c r="R74" s="411"/>
      <c r="S74" s="370">
        <f>O74*P74</f>
        <v>0</v>
      </c>
      <c r="T74" s="365">
        <f>S74/O$5</f>
        <v>0</v>
      </c>
      <c r="U74" s="420">
        <f t="shared" si="29"/>
        <v>3774.6</v>
      </c>
      <c r="V74" s="368" t="e">
        <f>#REF!-#REF!-#REF!-#REF!</f>
        <v>#REF!</v>
      </c>
    </row>
    <row r="75" spans="1:22" x14ac:dyDescent="0.2">
      <c r="A75" s="359"/>
      <c r="B75" s="360" t="s">
        <v>358</v>
      </c>
      <c r="C75" s="412">
        <f>1000*C7/($C$7+$C$8+$I$7+$I$8)</f>
        <v>998.24868651488612</v>
      </c>
      <c r="D75" s="371">
        <v>1.4233199999999999</v>
      </c>
      <c r="E75" s="374"/>
      <c r="F75" s="360"/>
      <c r="G75" s="370">
        <f>C75*D75</f>
        <v>1420.8273204903676</v>
      </c>
      <c r="H75" s="365">
        <f t="shared" si="27"/>
        <v>0.24926795096322238</v>
      </c>
      <c r="I75" s="412">
        <f>1000*I7/($C$7+$C$8+$I$7+$I$8)</f>
        <v>1.7513134851138354</v>
      </c>
      <c r="J75" s="371">
        <v>1.4233199999999999</v>
      </c>
      <c r="K75" s="374"/>
      <c r="L75" s="411"/>
      <c r="M75" s="370">
        <f>I75*J75</f>
        <v>2.4926795096322243</v>
      </c>
      <c r="N75" s="365">
        <f t="shared" si="28"/>
        <v>0.24926795096322243</v>
      </c>
      <c r="O75" s="412"/>
      <c r="P75" s="371"/>
      <c r="Q75" s="366"/>
      <c r="R75" s="411"/>
      <c r="S75" s="370">
        <f>O75*P75</f>
        <v>0</v>
      </c>
      <c r="T75" s="365">
        <f>S75/O$5</f>
        <v>0</v>
      </c>
      <c r="U75" s="420">
        <f t="shared" si="29"/>
        <v>1423.3199999999997</v>
      </c>
      <c r="V75" s="368" t="e">
        <f>#REF!-#REF!-#REF!-#REF!</f>
        <v>#REF!</v>
      </c>
    </row>
    <row r="76" spans="1:22" x14ac:dyDescent="0.2">
      <c r="A76" s="359"/>
      <c r="B76" s="360" t="s">
        <v>350</v>
      </c>
      <c r="C76" s="366"/>
      <c r="D76" s="362"/>
      <c r="E76" s="366"/>
      <c r="F76" s="364"/>
      <c r="G76" s="362">
        <f>G7-SUM(G70:G75)</f>
        <v>2523.2931698774046</v>
      </c>
      <c r="H76" s="365">
        <f t="shared" si="27"/>
        <v>0.44268301225919376</v>
      </c>
      <c r="I76" s="366"/>
      <c r="J76" s="362"/>
      <c r="K76" s="366"/>
      <c r="L76" s="364"/>
      <c r="M76" s="362">
        <f>M7-SUM(M70:M75)</f>
        <v>4.4268301225919373</v>
      </c>
      <c r="N76" s="365">
        <f t="shared" si="28"/>
        <v>0.44268301225919371</v>
      </c>
      <c r="O76" s="374"/>
      <c r="P76" s="366"/>
      <c r="Q76" s="366"/>
      <c r="R76" s="364"/>
      <c r="S76" s="362"/>
      <c r="T76" s="367"/>
      <c r="U76" s="420">
        <f t="shared" si="29"/>
        <v>2527.7199999999966</v>
      </c>
      <c r="V76" s="368"/>
    </row>
    <row r="77" spans="1:22" s="353" customFormat="1" x14ac:dyDescent="0.2">
      <c r="A77" s="375"/>
      <c r="B77" s="376" t="s">
        <v>355</v>
      </c>
      <c r="C77" s="377"/>
      <c r="D77" s="377"/>
      <c r="E77" s="377"/>
      <c r="F77" s="376"/>
      <c r="G77" s="378">
        <f>SUM(G70:G76)</f>
        <v>35682</v>
      </c>
      <c r="H77" s="380">
        <f>SUM(H70:H76)</f>
        <v>6.26</v>
      </c>
      <c r="I77" s="377"/>
      <c r="J77" s="377"/>
      <c r="K77" s="377"/>
      <c r="L77" s="376"/>
      <c r="M77" s="378">
        <f>SUM(M70:M76)</f>
        <v>62.599999999999994</v>
      </c>
      <c r="N77" s="379">
        <f>SUM(N70:N76)</f>
        <v>6.2599999999999989</v>
      </c>
      <c r="O77" s="377"/>
      <c r="P77" s="377"/>
      <c r="Q77" s="377"/>
      <c r="R77" s="376"/>
      <c r="S77" s="378">
        <f>SUM(S70:S75)</f>
        <v>0</v>
      </c>
      <c r="T77" s="380">
        <f>SUM(T70:T75)</f>
        <v>0</v>
      </c>
      <c r="U77" s="443">
        <f>SUM(U70:U76)</f>
        <v>35744.599999999991</v>
      </c>
      <c r="V77" s="368" t="e">
        <f>#REF!-#REF!-#REF!-#REF!</f>
        <v>#REF!</v>
      </c>
    </row>
    <row r="78" spans="1:22" s="353" customFormat="1" hidden="1" outlineLevel="1" x14ac:dyDescent="0.2">
      <c r="A78" s="386" t="s">
        <v>356</v>
      </c>
      <c r="B78" s="387"/>
      <c r="C78" s="388"/>
      <c r="D78" s="388"/>
      <c r="E78" s="388"/>
      <c r="F78" s="387"/>
      <c r="G78" s="389"/>
      <c r="H78" s="390"/>
      <c r="I78" s="388"/>
      <c r="J78" s="388"/>
      <c r="K78" s="388"/>
      <c r="L78" s="387"/>
      <c r="M78" s="389"/>
      <c r="N78" s="390"/>
      <c r="O78" s="388"/>
      <c r="P78" s="388"/>
      <c r="Q78" s="388"/>
      <c r="R78" s="387"/>
      <c r="S78" s="389"/>
      <c r="T78" s="390"/>
      <c r="U78" s="445"/>
      <c r="V78" s="368"/>
    </row>
    <row r="79" spans="1:22" hidden="1" outlineLevel="1" x14ac:dyDescent="0.2">
      <c r="A79" s="359"/>
      <c r="B79" s="360" t="s">
        <v>390</v>
      </c>
      <c r="C79" s="366">
        <f>C8</f>
        <v>0</v>
      </c>
      <c r="D79" s="429">
        <v>3.5760000000000001</v>
      </c>
      <c r="E79" s="366"/>
      <c r="F79" s="364"/>
      <c r="G79" s="370">
        <f>C79*D79</f>
        <v>0</v>
      </c>
      <c r="H79" s="365"/>
      <c r="I79" s="366">
        <f>I8</f>
        <v>0</v>
      </c>
      <c r="J79" s="429">
        <v>3.5760000000000001</v>
      </c>
      <c r="K79" s="366"/>
      <c r="L79" s="364"/>
      <c r="M79" s="370">
        <f>I79*J79</f>
        <v>0</v>
      </c>
      <c r="N79" s="365"/>
      <c r="O79" s="374"/>
      <c r="P79" s="366"/>
      <c r="Q79" s="366"/>
      <c r="R79" s="364"/>
      <c r="S79" s="362"/>
      <c r="T79" s="367">
        <f>S79/O$4</f>
        <v>0</v>
      </c>
      <c r="U79" s="420">
        <f t="shared" ref="U79:U86" si="30">G79+M79+S79</f>
        <v>0</v>
      </c>
      <c r="V79" s="368"/>
    </row>
    <row r="80" spans="1:22" hidden="1" outlineLevel="1" x14ac:dyDescent="0.2">
      <c r="A80" s="359"/>
      <c r="B80" s="360" t="s">
        <v>330</v>
      </c>
      <c r="C80" s="366"/>
      <c r="D80" s="362"/>
      <c r="E80" s="366"/>
      <c r="F80" s="364"/>
      <c r="G80" s="362">
        <f>500*10*C8/($C$7+$C$8+$I$7+$I$8)</f>
        <v>0</v>
      </c>
      <c r="H80" s="365"/>
      <c r="I80" s="366"/>
      <c r="J80" s="362"/>
      <c r="K80" s="366"/>
      <c r="L80" s="364"/>
      <c r="M80" s="362">
        <f>500*10*I8/($C$7+$C$8+$I$7+$I$8)</f>
        <v>0</v>
      </c>
      <c r="N80" s="365"/>
      <c r="O80" s="374"/>
      <c r="P80" s="366"/>
      <c r="Q80" s="366"/>
      <c r="R80" s="364"/>
      <c r="S80" s="362"/>
      <c r="T80" s="367">
        <f>S80/O$4</f>
        <v>0</v>
      </c>
      <c r="U80" s="420">
        <f t="shared" si="30"/>
        <v>0</v>
      </c>
      <c r="V80" s="368"/>
    </row>
    <row r="81" spans="1:22" hidden="1" outlineLevel="1" x14ac:dyDescent="0.2">
      <c r="A81" s="359"/>
      <c r="B81" s="360" t="s">
        <v>335</v>
      </c>
      <c r="C81" s="366"/>
      <c r="D81" s="362"/>
      <c r="E81" s="366"/>
      <c r="F81" s="364"/>
      <c r="G81" s="362">
        <f>(1500+500)*6/12*C8/($C$7+$C$8+$I$7+$I$8)</f>
        <v>0</v>
      </c>
      <c r="H81" s="365"/>
      <c r="I81" s="366"/>
      <c r="J81" s="362"/>
      <c r="K81" s="366"/>
      <c r="L81" s="364"/>
      <c r="M81" s="362">
        <f>(1500+500)*6/12*I8/($C$7+$C$8+$I$7+$I$8)</f>
        <v>0</v>
      </c>
      <c r="N81" s="365"/>
      <c r="O81" s="374"/>
      <c r="P81" s="366"/>
      <c r="Q81" s="366"/>
      <c r="R81" s="364"/>
      <c r="S81" s="362"/>
      <c r="T81" s="367"/>
      <c r="U81" s="420">
        <f t="shared" si="30"/>
        <v>0</v>
      </c>
      <c r="V81" s="368"/>
    </row>
    <row r="82" spans="1:22" hidden="1" outlineLevel="1" x14ac:dyDescent="0.2">
      <c r="A82" s="359"/>
      <c r="B82" s="360" t="s">
        <v>331</v>
      </c>
      <c r="C82" s="366"/>
      <c r="D82" s="362"/>
      <c r="E82" s="366"/>
      <c r="F82" s="364"/>
      <c r="G82" s="362">
        <f>1600*C8/($C$7+$C$8+$I$7+$I$8)</f>
        <v>0</v>
      </c>
      <c r="H82" s="365"/>
      <c r="I82" s="366"/>
      <c r="J82" s="362"/>
      <c r="K82" s="366"/>
      <c r="L82" s="364"/>
      <c r="M82" s="362">
        <f>1600*I8/($C$7+$C$8+$I$7+$I$8)</f>
        <v>0</v>
      </c>
      <c r="N82" s="365"/>
      <c r="O82" s="374"/>
      <c r="P82" s="366"/>
      <c r="Q82" s="366"/>
      <c r="R82" s="364"/>
      <c r="S82" s="362"/>
      <c r="T82" s="367"/>
      <c r="U82" s="420">
        <f t="shared" si="30"/>
        <v>0</v>
      </c>
      <c r="V82" s="368"/>
    </row>
    <row r="83" spans="1:22" hidden="1" outlineLevel="1" x14ac:dyDescent="0.2">
      <c r="A83" s="359"/>
      <c r="B83" s="360" t="s">
        <v>334</v>
      </c>
      <c r="C83" s="412">
        <f>9000*C8/($C$7+$C$8+$I$7+$I$8)</f>
        <v>0</v>
      </c>
      <c r="D83" s="371">
        <v>0.4194</v>
      </c>
      <c r="E83" s="374"/>
      <c r="F83" s="360"/>
      <c r="G83" s="370">
        <f>C83*D83</f>
        <v>0</v>
      </c>
      <c r="H83" s="365"/>
      <c r="I83" s="412">
        <f>9000*I8/($C$7+$C$8+$I$7+$I$8)</f>
        <v>0</v>
      </c>
      <c r="J83" s="371">
        <v>0.4194</v>
      </c>
      <c r="K83" s="374"/>
      <c r="L83" s="360"/>
      <c r="M83" s="370">
        <f>I83*J83</f>
        <v>0</v>
      </c>
      <c r="N83" s="365"/>
      <c r="O83" s="374"/>
      <c r="P83" s="366"/>
      <c r="Q83" s="366"/>
      <c r="R83" s="364"/>
      <c r="S83" s="362"/>
      <c r="T83" s="367"/>
      <c r="U83" s="420">
        <f t="shared" si="30"/>
        <v>0</v>
      </c>
      <c r="V83" s="368"/>
    </row>
    <row r="84" spans="1:22" hidden="1" outlineLevel="1" x14ac:dyDescent="0.2">
      <c r="A84" s="359"/>
      <c r="B84" s="360" t="s">
        <v>358</v>
      </c>
      <c r="C84" s="412">
        <f>1000*C8/($C$7+$C$8+$I$7+$I$8)</f>
        <v>0</v>
      </c>
      <c r="D84" s="371">
        <v>1.4233199999999999</v>
      </c>
      <c r="E84" s="374"/>
      <c r="F84" s="360"/>
      <c r="G84" s="370">
        <f>C84*D84</f>
        <v>0</v>
      </c>
      <c r="H84" s="365"/>
      <c r="I84" s="412">
        <f>1000*I8/($C$7+$C$8+$I$7+$I$8)</f>
        <v>0</v>
      </c>
      <c r="J84" s="371">
        <v>1.4233199999999999</v>
      </c>
      <c r="K84" s="374"/>
      <c r="L84" s="360"/>
      <c r="M84" s="370">
        <f>I84*J84</f>
        <v>0</v>
      </c>
      <c r="N84" s="365"/>
      <c r="O84" s="374"/>
      <c r="P84" s="366"/>
      <c r="Q84" s="366"/>
      <c r="R84" s="364"/>
      <c r="S84" s="362"/>
      <c r="T84" s="367"/>
      <c r="U84" s="420">
        <f t="shared" si="30"/>
        <v>0</v>
      </c>
      <c r="V84" s="368"/>
    </row>
    <row r="85" spans="1:22" hidden="1" outlineLevel="1" x14ac:dyDescent="0.2">
      <c r="A85" s="359"/>
      <c r="B85" s="360" t="s">
        <v>359</v>
      </c>
      <c r="C85" s="366"/>
      <c r="D85" s="362"/>
      <c r="E85" s="366"/>
      <c r="F85" s="364"/>
      <c r="G85" s="370"/>
      <c r="H85" s="365"/>
      <c r="I85" s="366"/>
      <c r="J85" s="362"/>
      <c r="K85" s="366"/>
      <c r="L85" s="364"/>
      <c r="M85" s="370"/>
      <c r="N85" s="365"/>
      <c r="O85" s="374"/>
      <c r="P85" s="366"/>
      <c r="Q85" s="366"/>
      <c r="R85" s="364"/>
      <c r="S85" s="362"/>
      <c r="T85" s="367"/>
      <c r="U85" s="420">
        <f t="shared" si="30"/>
        <v>0</v>
      </c>
      <c r="V85" s="368"/>
    </row>
    <row r="86" spans="1:22" hidden="1" outlineLevel="1" x14ac:dyDescent="0.2">
      <c r="A86" s="359"/>
      <c r="B86" s="360" t="s">
        <v>350</v>
      </c>
      <c r="C86" s="366"/>
      <c r="D86" s="362"/>
      <c r="E86" s="366"/>
      <c r="F86" s="364"/>
      <c r="G86" s="370">
        <f>G8-SUM(G79:G85)</f>
        <v>0</v>
      </c>
      <c r="H86" s="365"/>
      <c r="I86" s="366"/>
      <c r="J86" s="362"/>
      <c r="K86" s="366"/>
      <c r="L86" s="364"/>
      <c r="M86" s="370">
        <f>M8-SUM(M79:M85)</f>
        <v>0</v>
      </c>
      <c r="N86" s="365"/>
      <c r="O86" s="374"/>
      <c r="P86" s="366"/>
      <c r="Q86" s="366"/>
      <c r="R86" s="364"/>
      <c r="S86" s="362"/>
      <c r="T86" s="367"/>
      <c r="U86" s="420">
        <f t="shared" si="30"/>
        <v>0</v>
      </c>
      <c r="V86" s="368"/>
    </row>
    <row r="87" spans="1:22" s="353" customFormat="1" hidden="1" outlineLevel="1" x14ac:dyDescent="0.2">
      <c r="A87" s="375"/>
      <c r="B87" s="376" t="s">
        <v>357</v>
      </c>
      <c r="C87" s="377"/>
      <c r="D87" s="377"/>
      <c r="E87" s="377"/>
      <c r="F87" s="376"/>
      <c r="G87" s="378"/>
      <c r="H87" s="380">
        <f>SUM(H78:H86)</f>
        <v>0</v>
      </c>
      <c r="I87" s="377"/>
      <c r="J87" s="377"/>
      <c r="K87" s="377"/>
      <c r="L87" s="376"/>
      <c r="M87" s="378"/>
      <c r="N87" s="380">
        <f>SUM(N78:N86)</f>
        <v>0</v>
      </c>
      <c r="O87" s="377"/>
      <c r="P87" s="377"/>
      <c r="Q87" s="377"/>
      <c r="R87" s="376"/>
      <c r="S87" s="378">
        <f>SUM(S78:S86)</f>
        <v>0</v>
      </c>
      <c r="T87" s="380">
        <f>SUM(T78:T86)</f>
        <v>0</v>
      </c>
      <c r="U87" s="443"/>
      <c r="V87" s="368" t="e">
        <f>#REF!-#REF!-#REF!-#REF!</f>
        <v>#REF!</v>
      </c>
    </row>
    <row r="88" spans="1:22" s="353" customFormat="1" ht="13.5" collapsed="1" thickBot="1" x14ac:dyDescent="0.25">
      <c r="A88" s="430"/>
      <c r="B88" s="431" t="s">
        <v>360</v>
      </c>
      <c r="C88" s="432"/>
      <c r="D88" s="432"/>
      <c r="E88" s="432"/>
      <c r="F88" s="431"/>
      <c r="G88" s="433">
        <f>G53+G65+G68+G77+G87</f>
        <v>450431.14974991046</v>
      </c>
      <c r="H88" s="434"/>
      <c r="I88" s="432"/>
      <c r="J88" s="432"/>
      <c r="K88" s="432"/>
      <c r="L88" s="431"/>
      <c r="M88" s="433">
        <f>M53+M65+M68+M77+M87</f>
        <v>77392.400000021749</v>
      </c>
      <c r="N88" s="434"/>
      <c r="O88" s="432"/>
      <c r="P88" s="432"/>
      <c r="Q88" s="432"/>
      <c r="R88" s="431"/>
      <c r="S88" s="433">
        <f>S53+S65+S68+S77+S87</f>
        <v>51840.000000104366</v>
      </c>
      <c r="T88" s="434"/>
      <c r="U88" s="450">
        <f>U53+U65+U68+U77+U87</f>
        <v>579663.54975003656</v>
      </c>
      <c r="V88" s="368" t="e">
        <f>#REF!-#REF!-#REF!-#REF!</f>
        <v>#REF!</v>
      </c>
    </row>
    <row r="89" spans="1:22" hidden="1" outlineLevel="1" x14ac:dyDescent="0.2">
      <c r="A89" s="435"/>
      <c r="B89" s="374"/>
      <c r="C89" s="366"/>
      <c r="D89" s="362"/>
      <c r="E89" s="366"/>
      <c r="F89" s="366"/>
      <c r="G89" s="370">
        <f>G7-G77</f>
        <v>0</v>
      </c>
      <c r="H89" s="370">
        <f>H7-H77</f>
        <v>0</v>
      </c>
      <c r="I89" s="370"/>
      <c r="J89" s="370"/>
      <c r="K89" s="370">
        <f t="shared" ref="K89:U89" si="31">K7-K77</f>
        <v>0</v>
      </c>
      <c r="L89" s="370">
        <f t="shared" si="31"/>
        <v>0</v>
      </c>
      <c r="M89" s="370">
        <f t="shared" si="31"/>
        <v>0</v>
      </c>
      <c r="N89" s="370">
        <f t="shared" si="31"/>
        <v>0</v>
      </c>
      <c r="O89" s="370">
        <f t="shared" si="31"/>
        <v>0</v>
      </c>
      <c r="P89" s="370">
        <f t="shared" si="31"/>
        <v>0</v>
      </c>
      <c r="Q89" s="370">
        <f t="shared" si="31"/>
        <v>0</v>
      </c>
      <c r="R89" s="370">
        <f t="shared" si="31"/>
        <v>0</v>
      </c>
      <c r="S89" s="370">
        <f t="shared" si="31"/>
        <v>0</v>
      </c>
      <c r="T89" s="370">
        <f t="shared" si="31"/>
        <v>0</v>
      </c>
      <c r="U89" s="370">
        <f t="shared" si="31"/>
        <v>0</v>
      </c>
      <c r="V89" s="368"/>
    </row>
    <row r="90" spans="1:22" hidden="1" outlineLevel="1" x14ac:dyDescent="0.2">
      <c r="A90" s="435"/>
      <c r="B90" s="374"/>
      <c r="C90" s="366"/>
      <c r="D90" s="362"/>
      <c r="E90" s="366"/>
      <c r="F90" s="436">
        <f>G90/G65</f>
        <v>0</v>
      </c>
      <c r="G90" s="370">
        <f>G8-G87</f>
        <v>0</v>
      </c>
      <c r="H90" s="437"/>
      <c r="I90" s="366"/>
      <c r="J90" s="362"/>
      <c r="K90" s="366"/>
      <c r="L90" s="436">
        <f>M90/M65</f>
        <v>0</v>
      </c>
      <c r="M90" s="370">
        <f>M8-M87</f>
        <v>0</v>
      </c>
      <c r="N90" s="412"/>
      <c r="O90" s="374"/>
      <c r="P90" s="366"/>
      <c r="Q90" s="366"/>
      <c r="R90" s="366"/>
      <c r="S90" s="362"/>
      <c r="T90" s="436">
        <f>U90/U65</f>
        <v>0</v>
      </c>
      <c r="U90" s="370">
        <f>U8-U87</f>
        <v>0</v>
      </c>
      <c r="V90" s="368"/>
    </row>
    <row r="91" spans="1:22" hidden="1" outlineLevel="1" x14ac:dyDescent="0.2">
      <c r="A91" s="435"/>
      <c r="B91" s="374"/>
      <c r="C91" s="366"/>
      <c r="D91" s="362"/>
      <c r="E91" s="366"/>
      <c r="F91" s="436"/>
      <c r="G91" s="370">
        <f t="shared" ref="G91:U91" si="32">G88-G10</f>
        <v>-2.500895643606782E-4</v>
      </c>
      <c r="H91" s="370">
        <f t="shared" si="32"/>
        <v>0</v>
      </c>
      <c r="I91" s="370">
        <f t="shared" si="32"/>
        <v>0</v>
      </c>
      <c r="J91" s="370">
        <f t="shared" si="32"/>
        <v>0</v>
      </c>
      <c r="K91" s="370">
        <f t="shared" si="32"/>
        <v>0</v>
      </c>
      <c r="L91" s="370">
        <f t="shared" si="32"/>
        <v>0</v>
      </c>
      <c r="M91" s="370">
        <f t="shared" si="32"/>
        <v>2.1740561351180077E-8</v>
      </c>
      <c r="N91" s="370">
        <f t="shared" si="32"/>
        <v>0</v>
      </c>
      <c r="O91" s="370">
        <f t="shared" si="32"/>
        <v>0</v>
      </c>
      <c r="P91" s="370">
        <f t="shared" si="32"/>
        <v>0</v>
      </c>
      <c r="Q91" s="370">
        <f t="shared" si="32"/>
        <v>0</v>
      </c>
      <c r="R91" s="370">
        <f t="shared" si="32"/>
        <v>0</v>
      </c>
      <c r="S91" s="370">
        <f t="shared" si="32"/>
        <v>1.0436633601784706E-7</v>
      </c>
      <c r="T91" s="370">
        <f t="shared" si="32"/>
        <v>0</v>
      </c>
      <c r="U91" s="370">
        <f t="shared" si="32"/>
        <v>-2.499633701518178E-4</v>
      </c>
      <c r="V91" s="368"/>
    </row>
    <row r="92" spans="1:22" collapsed="1" x14ac:dyDescent="0.2"/>
  </sheetData>
  <autoFilter ref="A2:H53"/>
  <phoneticPr fontId="3" type="noConversion"/>
  <printOptions horizontalCentered="1"/>
  <pageMargins left="0" right="0" top="0.39370078740157483" bottom="0.39370078740157483" header="0.31496062992125984" footer="0.31496062992125984"/>
  <pageSetup paperSize="9" scale="81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X91"/>
  <sheetViews>
    <sheetView showZeros="0" zoomScale="90" zoomScaleNormal="90" workbookViewId="0">
      <pane xSplit="2" ySplit="2" topLeftCell="G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RowHeight="12.75" outlineLevelRow="1" outlineLevelCol="1" x14ac:dyDescent="0.2"/>
  <cols>
    <col min="1" max="1" width="3.85546875" style="369" bestFit="1" customWidth="1"/>
    <col min="2" max="2" width="39.28515625" style="369" bestFit="1" customWidth="1"/>
    <col min="3" max="3" width="9.85546875" style="369" hidden="1" customWidth="1" outlineLevel="1"/>
    <col min="4" max="4" width="8.7109375" style="369" hidden="1" customWidth="1" outlineLevel="1"/>
    <col min="5" max="5" width="9.28515625" style="369" hidden="1" customWidth="1" outlineLevel="1"/>
    <col min="6" max="6" width="8.5703125" style="369" hidden="1" customWidth="1" outlineLevel="1"/>
    <col min="7" max="7" width="11" style="438" bestFit="1" customWidth="1" collapsed="1"/>
    <col min="8" max="8" width="9.7109375" style="439" customWidth="1"/>
    <col min="9" max="9" width="7.28515625" style="369" hidden="1" customWidth="1" outlineLevel="1"/>
    <col min="10" max="10" width="8.7109375" style="369" hidden="1" customWidth="1" outlineLevel="1"/>
    <col min="11" max="11" width="9.28515625" style="369" hidden="1" customWidth="1" outlineLevel="1"/>
    <col min="12" max="12" width="8.5703125" style="369" hidden="1" customWidth="1" outlineLevel="1"/>
    <col min="13" max="13" width="11" style="438" customWidth="1" collapsed="1"/>
    <col min="14" max="14" width="10.5703125" style="439" bestFit="1" customWidth="1"/>
    <col min="15" max="16" width="8.7109375" style="369" hidden="1" customWidth="1" outlineLevel="1"/>
    <col min="17" max="17" width="9.28515625" style="369" hidden="1" customWidth="1" outlineLevel="1"/>
    <col min="18" max="18" width="8.5703125" style="369" hidden="1" customWidth="1" outlineLevel="1"/>
    <col min="19" max="19" width="10.42578125" style="438" bestFit="1" customWidth="1" collapsed="1"/>
    <col min="20" max="20" width="10.5703125" style="439" bestFit="1" customWidth="1"/>
    <col min="21" max="21" width="11" style="438" bestFit="1" customWidth="1" collapsed="1"/>
    <col min="22" max="22" width="1.5703125" style="369" hidden="1" customWidth="1" outlineLevel="1"/>
    <col min="23" max="23" width="0" style="369" hidden="1" customWidth="1" outlineLevel="1"/>
    <col min="24" max="24" width="9.140625" style="369" collapsed="1"/>
    <col min="25" max="16384" width="9.140625" style="369"/>
  </cols>
  <sheetData>
    <row r="1" spans="1:22" s="353" customFormat="1" ht="27" customHeight="1" x14ac:dyDescent="0.2">
      <c r="A1" s="346"/>
      <c r="B1" s="347"/>
      <c r="C1" s="348"/>
      <c r="D1" s="348"/>
      <c r="E1" s="348"/>
      <c r="F1" s="347"/>
      <c r="G1" s="345" t="s">
        <v>264</v>
      </c>
      <c r="H1" s="349"/>
      <c r="I1" s="348"/>
      <c r="J1" s="348"/>
      <c r="K1" s="348"/>
      <c r="L1" s="348"/>
      <c r="M1" s="350" t="s">
        <v>265</v>
      </c>
      <c r="N1" s="349"/>
      <c r="O1" s="348"/>
      <c r="P1" s="348"/>
      <c r="Q1" s="348"/>
      <c r="R1" s="348"/>
      <c r="S1" s="352" t="s">
        <v>266</v>
      </c>
      <c r="T1" s="349"/>
      <c r="U1" s="440" t="s">
        <v>263</v>
      </c>
    </row>
    <row r="2" spans="1:22" s="60" customFormat="1" ht="26.25" thickBot="1" x14ac:dyDescent="0.25">
      <c r="A2" s="277" t="s">
        <v>237</v>
      </c>
      <c r="B2" s="278" t="s">
        <v>238</v>
      </c>
      <c r="C2" s="279" t="s">
        <v>245</v>
      </c>
      <c r="D2" s="279" t="s">
        <v>318</v>
      </c>
      <c r="E2" s="279" t="s">
        <v>246</v>
      </c>
      <c r="F2" s="278" t="s">
        <v>232</v>
      </c>
      <c r="G2" s="280" t="s">
        <v>239</v>
      </c>
      <c r="H2" s="281" t="s">
        <v>240</v>
      </c>
      <c r="I2" s="279" t="s">
        <v>245</v>
      </c>
      <c r="J2" s="279" t="s">
        <v>318</v>
      </c>
      <c r="K2" s="279" t="s">
        <v>246</v>
      </c>
      <c r="L2" s="278" t="s">
        <v>232</v>
      </c>
      <c r="M2" s="280" t="s">
        <v>239</v>
      </c>
      <c r="N2" s="281" t="s">
        <v>240</v>
      </c>
      <c r="O2" s="279" t="s">
        <v>245</v>
      </c>
      <c r="P2" s="279" t="s">
        <v>318</v>
      </c>
      <c r="Q2" s="279" t="s">
        <v>246</v>
      </c>
      <c r="R2" s="278" t="s">
        <v>232</v>
      </c>
      <c r="S2" s="280" t="s">
        <v>239</v>
      </c>
      <c r="T2" s="281" t="s">
        <v>367</v>
      </c>
      <c r="U2" s="441" t="s">
        <v>239</v>
      </c>
    </row>
    <row r="3" spans="1:22" s="353" customFormat="1" x14ac:dyDescent="0.2">
      <c r="A3" s="354" t="s">
        <v>241</v>
      </c>
      <c r="B3" s="355"/>
      <c r="C3" s="356"/>
      <c r="D3" s="356"/>
      <c r="E3" s="356"/>
      <c r="F3" s="355"/>
      <c r="G3" s="357"/>
      <c r="H3" s="358"/>
      <c r="I3" s="356"/>
      <c r="J3" s="356"/>
      <c r="K3" s="356"/>
      <c r="L3" s="355"/>
      <c r="M3" s="357"/>
      <c r="N3" s="358"/>
      <c r="O3" s="356"/>
      <c r="P3" s="356"/>
      <c r="Q3" s="356"/>
      <c r="R3" s="355"/>
      <c r="S3" s="357"/>
      <c r="T3" s="358"/>
      <c r="U3" s="442"/>
    </row>
    <row r="4" spans="1:22" x14ac:dyDescent="0.2">
      <c r="A4" s="359">
        <v>1</v>
      </c>
      <c r="B4" s="360" t="s">
        <v>267</v>
      </c>
      <c r="C4" s="361">
        <v>44595.6</v>
      </c>
      <c r="D4" s="362">
        <v>5.62</v>
      </c>
      <c r="E4" s="451"/>
      <c r="F4" s="364"/>
      <c r="G4" s="362">
        <f>C4*D4</f>
        <v>250627.272</v>
      </c>
      <c r="H4" s="365">
        <f>G4/C4</f>
        <v>5.62</v>
      </c>
      <c r="I4" s="366">
        <v>7100</v>
      </c>
      <c r="J4" s="362">
        <v>8.4</v>
      </c>
      <c r="K4" s="362"/>
      <c r="L4" s="364"/>
      <c r="M4" s="362">
        <f>I4*J4</f>
        <v>59640</v>
      </c>
      <c r="N4" s="367">
        <f>M4/I4</f>
        <v>8.4</v>
      </c>
      <c r="O4" s="366">
        <v>97</v>
      </c>
      <c r="P4" s="362">
        <v>188</v>
      </c>
      <c r="Q4" s="366"/>
      <c r="R4" s="364"/>
      <c r="S4" s="362">
        <f>O4*P4</f>
        <v>18236</v>
      </c>
      <c r="T4" s="367">
        <f>S4/O4</f>
        <v>188</v>
      </c>
      <c r="U4" s="420">
        <f t="shared" ref="U4:U9" si="0">G4+M4+S4</f>
        <v>328503.272</v>
      </c>
      <c r="V4" s="368" t="e">
        <f>#REF!-#REF!-#REF!-#REF!</f>
        <v>#REF!</v>
      </c>
    </row>
    <row r="5" spans="1:22" x14ac:dyDescent="0.2">
      <c r="A5" s="359">
        <v>2</v>
      </c>
      <c r="B5" s="360" t="s">
        <v>315</v>
      </c>
      <c r="C5" s="361">
        <v>43064.6</v>
      </c>
      <c r="D5" s="362">
        <v>4.68</v>
      </c>
      <c r="E5" s="366"/>
      <c r="F5" s="364"/>
      <c r="G5" s="370">
        <f>C5*D5</f>
        <v>201542.32799999998</v>
      </c>
      <c r="H5" s="365">
        <f>G5/C5</f>
        <v>4.68</v>
      </c>
      <c r="I5" s="366">
        <v>200</v>
      </c>
      <c r="J5" s="362">
        <f>D5</f>
        <v>4.68</v>
      </c>
      <c r="K5" s="366"/>
      <c r="L5" s="364"/>
      <c r="M5" s="362">
        <f>I5*J5</f>
        <v>936</v>
      </c>
      <c r="N5" s="367">
        <f>M5/I5</f>
        <v>4.68</v>
      </c>
      <c r="O5" s="366"/>
      <c r="P5" s="362"/>
      <c r="Q5" s="366"/>
      <c r="R5" s="364"/>
      <c r="S5" s="362">
        <f>O5*P5</f>
        <v>0</v>
      </c>
      <c r="T5" s="367"/>
      <c r="U5" s="420">
        <f t="shared" si="0"/>
        <v>202478.32799999998</v>
      </c>
      <c r="V5" s="368"/>
    </row>
    <row r="6" spans="1:22" x14ac:dyDescent="0.2">
      <c r="A6" s="359">
        <v>3</v>
      </c>
      <c r="B6" s="360" t="s">
        <v>316</v>
      </c>
      <c r="C6" s="366">
        <v>200000</v>
      </c>
      <c r="D6" s="371">
        <v>0.63</v>
      </c>
      <c r="E6" s="366"/>
      <c r="F6" s="364"/>
      <c r="G6" s="370">
        <f>C6*D6</f>
        <v>126000</v>
      </c>
      <c r="H6" s="365">
        <f>G6/C6</f>
        <v>0.63</v>
      </c>
      <c r="I6" s="366">
        <v>15000</v>
      </c>
      <c r="J6" s="371">
        <f>D84</f>
        <v>1.68</v>
      </c>
      <c r="K6" s="372"/>
      <c r="L6" s="373"/>
      <c r="M6" s="362">
        <f>I6*J6</f>
        <v>25200</v>
      </c>
      <c r="N6" s="367">
        <f>M6/I6</f>
        <v>1.68</v>
      </c>
      <c r="O6" s="374"/>
      <c r="P6" s="366"/>
      <c r="Q6" s="366"/>
      <c r="R6" s="364"/>
      <c r="S6" s="362"/>
      <c r="T6" s="367">
        <f>S6/O$4</f>
        <v>0</v>
      </c>
      <c r="U6" s="420">
        <f t="shared" si="0"/>
        <v>151200</v>
      </c>
      <c r="V6" s="368"/>
    </row>
    <row r="7" spans="1:22" x14ac:dyDescent="0.2">
      <c r="A7" s="359">
        <v>4</v>
      </c>
      <c r="B7" s="360" t="s">
        <v>317</v>
      </c>
      <c r="C7" s="366">
        <v>5700</v>
      </c>
      <c r="D7" s="362">
        <v>7.46</v>
      </c>
      <c r="E7" s="366"/>
      <c r="F7" s="364"/>
      <c r="G7" s="370">
        <f>C7*D7</f>
        <v>42522</v>
      </c>
      <c r="H7" s="365">
        <f>G7/C7</f>
        <v>7.46</v>
      </c>
      <c r="I7" s="366">
        <v>10</v>
      </c>
      <c r="J7" s="362">
        <f>D7</f>
        <v>7.46</v>
      </c>
      <c r="K7" s="366"/>
      <c r="L7" s="364"/>
      <c r="M7" s="362">
        <f>I7*J7</f>
        <v>74.599999999999994</v>
      </c>
      <c r="N7" s="367">
        <f>M7/I7</f>
        <v>7.4599999999999991</v>
      </c>
      <c r="O7" s="374"/>
      <c r="P7" s="366"/>
      <c r="Q7" s="366"/>
      <c r="R7" s="364"/>
      <c r="S7" s="362"/>
      <c r="T7" s="367">
        <f>S7/O$4</f>
        <v>0</v>
      </c>
      <c r="U7" s="420">
        <f t="shared" si="0"/>
        <v>42596.6</v>
      </c>
      <c r="V7" s="368"/>
    </row>
    <row r="8" spans="1:22" x14ac:dyDescent="0.2">
      <c r="A8" s="359">
        <v>5</v>
      </c>
      <c r="B8" s="360" t="s">
        <v>319</v>
      </c>
      <c r="C8" s="366">
        <v>300</v>
      </c>
      <c r="D8" s="362">
        <v>29.75</v>
      </c>
      <c r="E8" s="366"/>
      <c r="F8" s="364"/>
      <c r="G8" s="370">
        <f>C8*D8</f>
        <v>8925</v>
      </c>
      <c r="H8" s="365">
        <f>G8/C8</f>
        <v>29.75</v>
      </c>
      <c r="I8" s="366">
        <v>1</v>
      </c>
      <c r="J8" s="362">
        <f>D8</f>
        <v>29.75</v>
      </c>
      <c r="K8" s="366"/>
      <c r="L8" s="364"/>
      <c r="M8" s="362">
        <f>I8*J8</f>
        <v>29.75</v>
      </c>
      <c r="N8" s="367">
        <f>M8/I8</f>
        <v>29.75</v>
      </c>
      <c r="O8" s="374"/>
      <c r="P8" s="366"/>
      <c r="Q8" s="366"/>
      <c r="R8" s="364"/>
      <c r="S8" s="362"/>
      <c r="T8" s="367">
        <f>S8/O$4</f>
        <v>0</v>
      </c>
      <c r="U8" s="420">
        <f t="shared" si="0"/>
        <v>8954.75</v>
      </c>
      <c r="V8" s="368"/>
    </row>
    <row r="9" spans="1:22" x14ac:dyDescent="0.2">
      <c r="A9" s="359">
        <v>6</v>
      </c>
      <c r="B9" s="360" t="s">
        <v>388</v>
      </c>
      <c r="C9" s="366"/>
      <c r="D9" s="362"/>
      <c r="E9" s="366"/>
      <c r="F9" s="364"/>
      <c r="G9" s="370"/>
      <c r="H9" s="365"/>
      <c r="I9" s="366"/>
      <c r="J9" s="362"/>
      <c r="K9" s="366"/>
      <c r="L9" s="364"/>
      <c r="M9" s="362"/>
      <c r="N9" s="367"/>
      <c r="O9" s="366">
        <v>78</v>
      </c>
      <c r="P9" s="362">
        <v>400</v>
      </c>
      <c r="Q9" s="366"/>
      <c r="R9" s="364"/>
      <c r="S9" s="362">
        <f>O9*P9</f>
        <v>31200</v>
      </c>
      <c r="T9" s="367">
        <f>S9/O9</f>
        <v>400</v>
      </c>
      <c r="U9" s="420">
        <f t="shared" si="0"/>
        <v>31200</v>
      </c>
      <c r="V9" s="368"/>
    </row>
    <row r="10" spans="1:22" s="353" customFormat="1" x14ac:dyDescent="0.2">
      <c r="A10" s="375"/>
      <c r="B10" s="376" t="s">
        <v>320</v>
      </c>
      <c r="C10" s="377"/>
      <c r="D10" s="377"/>
      <c r="E10" s="377"/>
      <c r="F10" s="376"/>
      <c r="G10" s="378">
        <f>SUM(G4:G9)</f>
        <v>629616.6</v>
      </c>
      <c r="H10" s="379"/>
      <c r="I10" s="377"/>
      <c r="J10" s="377"/>
      <c r="K10" s="377"/>
      <c r="L10" s="376"/>
      <c r="M10" s="378">
        <f>SUM(M4:M9)</f>
        <v>85880.35</v>
      </c>
      <c r="N10" s="380"/>
      <c r="O10" s="377"/>
      <c r="P10" s="377"/>
      <c r="Q10" s="377"/>
      <c r="R10" s="376"/>
      <c r="S10" s="378">
        <f>SUM(S4:S9)</f>
        <v>49436</v>
      </c>
      <c r="T10" s="443">
        <f>T4+T5+T9</f>
        <v>588</v>
      </c>
      <c r="U10" s="443">
        <f>SUM(U4:U9)</f>
        <v>764932.95</v>
      </c>
      <c r="V10" s="368" t="e">
        <f>#REF!-#REF!-#REF!-#REF!</f>
        <v>#REF!</v>
      </c>
    </row>
    <row r="11" spans="1:22" s="353" customFormat="1" ht="13.5" thickBot="1" x14ac:dyDescent="0.25">
      <c r="A11" s="381" t="s">
        <v>242</v>
      </c>
      <c r="B11" s="382"/>
      <c r="C11" s="383"/>
      <c r="D11" s="383"/>
      <c r="E11" s="383"/>
      <c r="F11" s="382"/>
      <c r="G11" s="384"/>
      <c r="H11" s="385"/>
      <c r="I11" s="383"/>
      <c r="J11" s="383"/>
      <c r="K11" s="383"/>
      <c r="L11" s="382"/>
      <c r="M11" s="384"/>
      <c r="N11" s="385"/>
      <c r="O11" s="383"/>
      <c r="P11" s="383"/>
      <c r="Q11" s="383"/>
      <c r="R11" s="382"/>
      <c r="S11" s="384"/>
      <c r="T11" s="385"/>
      <c r="U11" s="444"/>
      <c r="V11" s="368" t="e">
        <f>#REF!-#REF!-#REF!-#REF!</f>
        <v>#REF!</v>
      </c>
    </row>
    <row r="12" spans="1:22" s="353" customFormat="1" x14ac:dyDescent="0.2">
      <c r="A12" s="386" t="s">
        <v>321</v>
      </c>
      <c r="B12" s="387"/>
      <c r="C12" s="388"/>
      <c r="D12" s="388"/>
      <c r="E12" s="388"/>
      <c r="F12" s="387"/>
      <c r="G12" s="389"/>
      <c r="H12" s="390"/>
      <c r="I12" s="388"/>
      <c r="J12" s="388"/>
      <c r="K12" s="388"/>
      <c r="L12" s="387"/>
      <c r="M12" s="389"/>
      <c r="N12" s="390"/>
      <c r="O12" s="388"/>
      <c r="P12" s="388"/>
      <c r="Q12" s="388"/>
      <c r="R12" s="387"/>
      <c r="S12" s="389"/>
      <c r="T12" s="390"/>
      <c r="U12" s="445"/>
      <c r="V12" s="368"/>
    </row>
    <row r="13" spans="1:22" s="353" customFormat="1" x14ac:dyDescent="0.2">
      <c r="A13" s="391">
        <v>1</v>
      </c>
      <c r="B13" s="392" t="s">
        <v>243</v>
      </c>
      <c r="C13" s="393"/>
      <c r="D13" s="394"/>
      <c r="E13" s="394">
        <f>SUM(E14:E26)</f>
        <v>75408.612066666668</v>
      </c>
      <c r="F13" s="395">
        <f>SUM(F14:F26)</f>
        <v>52806.652383333334</v>
      </c>
      <c r="G13" s="396">
        <f>SUM(G14:G26)</f>
        <v>115393.73800500001</v>
      </c>
      <c r="H13" s="397">
        <f>G13/C$4</f>
        <v>2.5875588175739312</v>
      </c>
      <c r="I13" s="393"/>
      <c r="J13" s="394"/>
      <c r="K13" s="394">
        <f>SUM(K14:K26)</f>
        <v>75408.612066666668</v>
      </c>
      <c r="L13" s="395">
        <f>SUM(L14:L26)</f>
        <v>52806.652383333334</v>
      </c>
      <c r="M13" s="396">
        <f>SUM(M14:M26)</f>
        <v>12821.526445</v>
      </c>
      <c r="N13" s="397">
        <f t="shared" ref="N13:N53" si="1">M13/I$4</f>
        <v>1.8058487950704225</v>
      </c>
      <c r="O13" s="393"/>
      <c r="P13" s="394"/>
      <c r="Q13" s="394">
        <f>SUM(Q14:Q26)</f>
        <v>66737.850399999996</v>
      </c>
      <c r="R13" s="395">
        <f>SUM(R14:R26)</f>
        <v>46734.747799999997</v>
      </c>
      <c r="S13" s="396">
        <f>SUM(S14:S26)</f>
        <v>0</v>
      </c>
      <c r="T13" s="397">
        <f>S13/O$4</f>
        <v>0</v>
      </c>
      <c r="U13" s="446">
        <f t="shared" ref="U13:U23" si="2">G13+M13+S13</f>
        <v>128215.26445</v>
      </c>
      <c r="V13" s="368" t="e">
        <f>#REF!-#REF!-#REF!-#REF!</f>
        <v>#REF!</v>
      </c>
    </row>
    <row r="14" spans="1:22" x14ac:dyDescent="0.2">
      <c r="A14" s="359"/>
      <c r="B14" s="360" t="str">
        <f>штат!A5</f>
        <v>Виконавчий директор / головний інженер</v>
      </c>
      <c r="C14" s="374">
        <f>штат!B5</f>
        <v>1</v>
      </c>
      <c r="D14" s="366">
        <f>штат!C5</f>
        <v>12450</v>
      </c>
      <c r="E14" s="366">
        <f>штат!K5</f>
        <v>10849.345000000001</v>
      </c>
      <c r="F14" s="364">
        <f>штат!L5</f>
        <v>7597.50875</v>
      </c>
      <c r="G14" s="362">
        <f>штат!$M5*G$55</f>
        <v>16602.168375000001</v>
      </c>
      <c r="H14" s="365">
        <f t="shared" ref="H14:H53" si="3">G14/C$4</f>
        <v>0.37228265512741171</v>
      </c>
      <c r="I14" s="374">
        <f>C14</f>
        <v>1</v>
      </c>
      <c r="J14" s="366">
        <f t="shared" ref="J14:J26" si="4">D14</f>
        <v>12450</v>
      </c>
      <c r="K14" s="366">
        <f t="shared" ref="K14:K26" si="5">E14</f>
        <v>10849.345000000001</v>
      </c>
      <c r="L14" s="364">
        <f t="shared" ref="L14:L26" si="6">F14</f>
        <v>7597.50875</v>
      </c>
      <c r="M14" s="362">
        <f>штат!$M5*M$55</f>
        <v>1844.6853749999998</v>
      </c>
      <c r="N14" s="365">
        <f t="shared" si="1"/>
        <v>0.25981484154929574</v>
      </c>
      <c r="O14" s="374">
        <f>I14</f>
        <v>1</v>
      </c>
      <c r="P14" s="366">
        <f t="shared" ref="P14:P26" si="7">J14</f>
        <v>12450</v>
      </c>
      <c r="Q14" s="366">
        <f t="shared" ref="Q14:Q26" si="8">K14</f>
        <v>10849.345000000001</v>
      </c>
      <c r="R14" s="364">
        <f t="shared" ref="R14:R26" si="9">L14</f>
        <v>7597.50875</v>
      </c>
      <c r="S14" s="362">
        <f>штат!$M5*S$55</f>
        <v>0</v>
      </c>
      <c r="T14" s="365">
        <f t="shared" ref="T14:T53" si="10">S14/O$4</f>
        <v>0</v>
      </c>
      <c r="U14" s="420">
        <f t="shared" si="2"/>
        <v>18446.853750000002</v>
      </c>
      <c r="V14" s="368" t="e">
        <f>#REF!-#REF!-#REF!-#REF!</f>
        <v>#REF!</v>
      </c>
    </row>
    <row r="15" spans="1:22" x14ac:dyDescent="0.2">
      <c r="A15" s="359"/>
      <c r="B15" s="360" t="str">
        <f>штат!A6</f>
        <v>Директор з організаційних питань</v>
      </c>
      <c r="C15" s="374">
        <f>штат!B6</f>
        <v>1</v>
      </c>
      <c r="D15" s="366">
        <f>штат!C6</f>
        <v>0</v>
      </c>
      <c r="E15" s="366">
        <f>штат!K6</f>
        <v>0</v>
      </c>
      <c r="F15" s="364">
        <f>штат!L6</f>
        <v>0</v>
      </c>
      <c r="G15" s="362">
        <f>штат!$M6*G$55</f>
        <v>0</v>
      </c>
      <c r="H15" s="365">
        <f t="shared" si="3"/>
        <v>0</v>
      </c>
      <c r="I15" s="374">
        <f t="shared" ref="I15:I26" si="11">C15</f>
        <v>1</v>
      </c>
      <c r="J15" s="366">
        <f t="shared" si="4"/>
        <v>0</v>
      </c>
      <c r="K15" s="366">
        <f t="shared" si="5"/>
        <v>0</v>
      </c>
      <c r="L15" s="364">
        <f t="shared" si="6"/>
        <v>0</v>
      </c>
      <c r="M15" s="362">
        <f>штат!$M6*M$55</f>
        <v>0</v>
      </c>
      <c r="N15" s="365">
        <f t="shared" si="1"/>
        <v>0</v>
      </c>
      <c r="O15" s="374">
        <f t="shared" ref="O15:O26" si="12">I15</f>
        <v>1</v>
      </c>
      <c r="P15" s="366">
        <f t="shared" si="7"/>
        <v>0</v>
      </c>
      <c r="Q15" s="366">
        <f t="shared" si="8"/>
        <v>0</v>
      </c>
      <c r="R15" s="364">
        <f t="shared" si="9"/>
        <v>0</v>
      </c>
      <c r="S15" s="362">
        <f>штат!$M6*S$55</f>
        <v>0</v>
      </c>
      <c r="T15" s="365">
        <f t="shared" si="10"/>
        <v>0</v>
      </c>
      <c r="U15" s="420">
        <f t="shared" si="2"/>
        <v>0</v>
      </c>
      <c r="V15" s="368" t="e">
        <f>#REF!-#REF!-#REF!-#REF!</f>
        <v>#REF!</v>
      </c>
    </row>
    <row r="16" spans="1:22" x14ac:dyDescent="0.2">
      <c r="A16" s="359"/>
      <c r="B16" s="360" t="str">
        <f>штат!A7</f>
        <v>Начальник дільниці</v>
      </c>
      <c r="C16" s="374">
        <f>штат!B7</f>
        <v>1</v>
      </c>
      <c r="D16" s="366">
        <f>штат!C7</f>
        <v>9950</v>
      </c>
      <c r="E16" s="366">
        <f>штат!K7</f>
        <v>8670.7616666666672</v>
      </c>
      <c r="F16" s="364">
        <f>штат!L7</f>
        <v>6071.904583333333</v>
      </c>
      <c r="G16" s="362">
        <f>штат!$M7*G$55</f>
        <v>13268.399625</v>
      </c>
      <c r="H16" s="365">
        <f>G16/C$4</f>
        <v>0.29752710188897563</v>
      </c>
      <c r="I16" s="374">
        <f>C16</f>
        <v>1</v>
      </c>
      <c r="J16" s="366">
        <f>D16</f>
        <v>9950</v>
      </c>
      <c r="K16" s="366">
        <f>E16</f>
        <v>8670.7616666666672</v>
      </c>
      <c r="L16" s="364">
        <f>F16</f>
        <v>6071.904583333333</v>
      </c>
      <c r="M16" s="362">
        <f>штат!$M7*M$55</f>
        <v>1474.2666249999997</v>
      </c>
      <c r="N16" s="365">
        <f>M16/I$4</f>
        <v>0.20764318661971828</v>
      </c>
      <c r="O16" s="374"/>
      <c r="P16" s="366"/>
      <c r="Q16" s="366"/>
      <c r="R16" s="364"/>
      <c r="S16" s="362"/>
      <c r="T16" s="365"/>
      <c r="U16" s="420">
        <f t="shared" si="2"/>
        <v>14742.66625</v>
      </c>
      <c r="V16" s="368" t="e">
        <f>#REF!-#REF!-#REF!-#REF!</f>
        <v>#REF!</v>
      </c>
    </row>
    <row r="17" spans="1:22" x14ac:dyDescent="0.2">
      <c r="A17" s="359"/>
      <c r="B17" s="360" t="str">
        <f>штат!A8</f>
        <v>Головний бухгалтер</v>
      </c>
      <c r="C17" s="374">
        <f>штат!B8</f>
        <v>1</v>
      </c>
      <c r="D17" s="366">
        <f>штат!C8</f>
        <v>6220</v>
      </c>
      <c r="E17" s="366">
        <f>штат!K8</f>
        <v>5420.315333333333</v>
      </c>
      <c r="F17" s="364">
        <f>штат!L8</f>
        <v>3795.7031666666662</v>
      </c>
      <c r="G17" s="362">
        <f>штат!$M8*G$55</f>
        <v>8294.4166499999992</v>
      </c>
      <c r="H17" s="365">
        <f t="shared" si="3"/>
        <v>0.18599181645722895</v>
      </c>
      <c r="I17" s="374">
        <f t="shared" si="11"/>
        <v>1</v>
      </c>
      <c r="J17" s="366">
        <f t="shared" si="4"/>
        <v>6220</v>
      </c>
      <c r="K17" s="366">
        <f t="shared" si="5"/>
        <v>5420.315333333333</v>
      </c>
      <c r="L17" s="364">
        <f t="shared" si="6"/>
        <v>3795.7031666666662</v>
      </c>
      <c r="M17" s="362">
        <f>штат!$M8*M$55</f>
        <v>921.60184999999967</v>
      </c>
      <c r="N17" s="365">
        <f t="shared" si="1"/>
        <v>0.1298030774647887</v>
      </c>
      <c r="O17" s="374">
        <f t="shared" si="12"/>
        <v>1</v>
      </c>
      <c r="P17" s="366">
        <f t="shared" si="7"/>
        <v>6220</v>
      </c>
      <c r="Q17" s="366">
        <f t="shared" si="8"/>
        <v>5420.315333333333</v>
      </c>
      <c r="R17" s="364">
        <f t="shared" si="9"/>
        <v>3795.7031666666662</v>
      </c>
      <c r="S17" s="362">
        <f>штат!$M8*S$55</f>
        <v>0</v>
      </c>
      <c r="T17" s="365">
        <f t="shared" si="10"/>
        <v>0</v>
      </c>
      <c r="U17" s="420">
        <f t="shared" si="2"/>
        <v>9216.0184999999983</v>
      </c>
      <c r="V17" s="368" t="e">
        <f>#REF!-#REF!-#REF!-#REF!</f>
        <v>#REF!</v>
      </c>
    </row>
    <row r="18" spans="1:22" x14ac:dyDescent="0.2">
      <c r="A18" s="359"/>
      <c r="B18" s="360" t="str">
        <f>штат!A9</f>
        <v>Бухгалтер</v>
      </c>
      <c r="C18" s="374">
        <f>штат!B9</f>
        <v>1</v>
      </c>
      <c r="D18" s="366">
        <f>штат!C9</f>
        <v>3730</v>
      </c>
      <c r="E18" s="366">
        <f>штат!K9</f>
        <v>3250.4463333333333</v>
      </c>
      <c r="F18" s="364">
        <f>штат!L9</f>
        <v>2276.2014166666672</v>
      </c>
      <c r="G18" s="362">
        <f>штат!$M9*G$55</f>
        <v>4973.9829749999999</v>
      </c>
      <c r="H18" s="365">
        <f t="shared" si="3"/>
        <v>0.11153528543174664</v>
      </c>
      <c r="I18" s="374">
        <f t="shared" si="11"/>
        <v>1</v>
      </c>
      <c r="J18" s="366">
        <f t="shared" si="4"/>
        <v>3730</v>
      </c>
      <c r="K18" s="366">
        <f t="shared" si="5"/>
        <v>3250.4463333333333</v>
      </c>
      <c r="L18" s="364">
        <f t="shared" si="6"/>
        <v>2276.2014166666672</v>
      </c>
      <c r="M18" s="362">
        <f>штат!$M9*M$55</f>
        <v>552.66477499999985</v>
      </c>
      <c r="N18" s="365">
        <f t="shared" si="1"/>
        <v>7.784010915492956E-2</v>
      </c>
      <c r="O18" s="374">
        <f t="shared" si="12"/>
        <v>1</v>
      </c>
      <c r="P18" s="366">
        <f t="shared" si="7"/>
        <v>3730</v>
      </c>
      <c r="Q18" s="366">
        <f t="shared" si="8"/>
        <v>3250.4463333333333</v>
      </c>
      <c r="R18" s="364">
        <f t="shared" si="9"/>
        <v>2276.2014166666672</v>
      </c>
      <c r="S18" s="362">
        <f>штат!$M9*S$55</f>
        <v>0</v>
      </c>
      <c r="T18" s="365">
        <f t="shared" si="10"/>
        <v>0</v>
      </c>
      <c r="U18" s="420">
        <f t="shared" si="2"/>
        <v>5526.6477500000001</v>
      </c>
      <c r="V18" s="368" t="e">
        <f>#REF!-#REF!-#REF!-#REF!</f>
        <v>#REF!</v>
      </c>
    </row>
    <row r="19" spans="1:22" x14ac:dyDescent="0.2">
      <c r="A19" s="359"/>
      <c r="B19" s="360" t="str">
        <f>штат!A10</f>
        <v>Електрик-механік</v>
      </c>
      <c r="C19" s="374">
        <f>штат!B10</f>
        <v>1</v>
      </c>
      <c r="D19" s="366">
        <f>штат!C10</f>
        <v>5720</v>
      </c>
      <c r="E19" s="366">
        <f>штат!K10</f>
        <v>4984.5986666666677</v>
      </c>
      <c r="F19" s="364">
        <f>штат!L10</f>
        <v>3490.5823333333333</v>
      </c>
      <c r="G19" s="362">
        <f>штат!$M10*G$55</f>
        <v>7627.6629000000003</v>
      </c>
      <c r="H19" s="365">
        <f t="shared" si="3"/>
        <v>0.17104070580954175</v>
      </c>
      <c r="I19" s="374">
        <f t="shared" si="11"/>
        <v>1</v>
      </c>
      <c r="J19" s="366">
        <f t="shared" si="4"/>
        <v>5720</v>
      </c>
      <c r="K19" s="366">
        <f t="shared" si="5"/>
        <v>4984.5986666666677</v>
      </c>
      <c r="L19" s="364">
        <f t="shared" si="6"/>
        <v>3490.5823333333333</v>
      </c>
      <c r="M19" s="362">
        <f>штат!$M10*M$55</f>
        <v>847.51809999999989</v>
      </c>
      <c r="N19" s="365">
        <f t="shared" si="1"/>
        <v>0.11936874647887323</v>
      </c>
      <c r="O19" s="374">
        <f t="shared" si="12"/>
        <v>1</v>
      </c>
      <c r="P19" s="366">
        <f t="shared" si="7"/>
        <v>5720</v>
      </c>
      <c r="Q19" s="366">
        <f t="shared" si="8"/>
        <v>4984.5986666666677</v>
      </c>
      <c r="R19" s="364">
        <f t="shared" si="9"/>
        <v>3490.5823333333333</v>
      </c>
      <c r="S19" s="362">
        <f>штат!$M10*S$55</f>
        <v>0</v>
      </c>
      <c r="T19" s="365">
        <f t="shared" si="10"/>
        <v>0</v>
      </c>
      <c r="U19" s="420">
        <f t="shared" si="2"/>
        <v>8475.1810000000005</v>
      </c>
      <c r="V19" s="368" t="e">
        <f>#REF!-#REF!-#REF!-#REF!</f>
        <v>#REF!</v>
      </c>
    </row>
    <row r="20" spans="1:22" x14ac:dyDescent="0.2">
      <c r="A20" s="359"/>
      <c r="B20" s="360" t="str">
        <f>штат!A11</f>
        <v>Електрик-ліфтер</v>
      </c>
      <c r="C20" s="374">
        <f>штат!B11</f>
        <v>1</v>
      </c>
      <c r="D20" s="366">
        <f>штат!C11</f>
        <v>4850</v>
      </c>
      <c r="E20" s="366">
        <f>штат!K11</f>
        <v>4226.4516666666677</v>
      </c>
      <c r="F20" s="364">
        <f>штат!L11</f>
        <v>2959.6720833333338</v>
      </c>
      <c r="G20" s="362">
        <f>штат!$M11*G$55</f>
        <v>6467.5113750000019</v>
      </c>
      <c r="H20" s="365">
        <f t="shared" si="3"/>
        <v>0.14502577328256605</v>
      </c>
      <c r="I20" s="374">
        <f t="shared" si="11"/>
        <v>1</v>
      </c>
      <c r="J20" s="366">
        <f t="shared" si="4"/>
        <v>4850</v>
      </c>
      <c r="K20" s="366">
        <f t="shared" si="5"/>
        <v>4226.4516666666677</v>
      </c>
      <c r="L20" s="364">
        <f t="shared" si="6"/>
        <v>2959.6720833333338</v>
      </c>
      <c r="M20" s="362">
        <f>штат!$M11*M$55</f>
        <v>718.61237500000004</v>
      </c>
      <c r="N20" s="365">
        <f t="shared" si="1"/>
        <v>0.10121301056338029</v>
      </c>
      <c r="O20" s="374">
        <f t="shared" si="12"/>
        <v>1</v>
      </c>
      <c r="P20" s="366">
        <f t="shared" si="7"/>
        <v>4850</v>
      </c>
      <c r="Q20" s="366">
        <f t="shared" si="8"/>
        <v>4226.4516666666677</v>
      </c>
      <c r="R20" s="364">
        <f t="shared" si="9"/>
        <v>2959.6720833333338</v>
      </c>
      <c r="S20" s="362">
        <f>штат!$M11*S$55</f>
        <v>0</v>
      </c>
      <c r="T20" s="365">
        <f t="shared" si="10"/>
        <v>0</v>
      </c>
      <c r="U20" s="420">
        <f t="shared" si="2"/>
        <v>7186.1237500000016</v>
      </c>
      <c r="V20" s="368" t="e">
        <f>#REF!-#REF!-#REF!-#REF!</f>
        <v>#REF!</v>
      </c>
    </row>
    <row r="21" spans="1:22" x14ac:dyDescent="0.2">
      <c r="A21" s="359"/>
      <c r="B21" s="360" t="str">
        <f>штат!A12</f>
        <v>Сантехнік-зварювальник</v>
      </c>
      <c r="C21" s="374">
        <f>штат!B12</f>
        <v>1</v>
      </c>
      <c r="D21" s="366">
        <f>штат!C12</f>
        <v>4850</v>
      </c>
      <c r="E21" s="366">
        <f>штат!K12</f>
        <v>4226.4516666666677</v>
      </c>
      <c r="F21" s="364">
        <f>штат!L12</f>
        <v>2959.6720833333338</v>
      </c>
      <c r="G21" s="362">
        <f>штат!$M12*G$55</f>
        <v>6467.5113750000019</v>
      </c>
      <c r="H21" s="365">
        <f t="shared" si="3"/>
        <v>0.14502577328256605</v>
      </c>
      <c r="I21" s="374">
        <f t="shared" si="11"/>
        <v>1</v>
      </c>
      <c r="J21" s="366">
        <f t="shared" si="4"/>
        <v>4850</v>
      </c>
      <c r="K21" s="366">
        <f t="shared" si="5"/>
        <v>4226.4516666666677</v>
      </c>
      <c r="L21" s="364">
        <f t="shared" si="6"/>
        <v>2959.6720833333338</v>
      </c>
      <c r="M21" s="362">
        <f>штат!$M12*M$55</f>
        <v>718.61237500000004</v>
      </c>
      <c r="N21" s="365">
        <f t="shared" si="1"/>
        <v>0.10121301056338029</v>
      </c>
      <c r="O21" s="374">
        <f t="shared" si="12"/>
        <v>1</v>
      </c>
      <c r="P21" s="366">
        <f t="shared" si="7"/>
        <v>4850</v>
      </c>
      <c r="Q21" s="366">
        <f t="shared" si="8"/>
        <v>4226.4516666666677</v>
      </c>
      <c r="R21" s="364">
        <f t="shared" si="9"/>
        <v>2959.6720833333338</v>
      </c>
      <c r="S21" s="362">
        <f>штат!$M12*S$55</f>
        <v>0</v>
      </c>
      <c r="T21" s="365">
        <f t="shared" si="10"/>
        <v>0</v>
      </c>
      <c r="U21" s="420">
        <f t="shared" si="2"/>
        <v>7186.1237500000016</v>
      </c>
      <c r="V21" s="368" t="e">
        <f>#REF!-#REF!-#REF!-#REF!</f>
        <v>#REF!</v>
      </c>
    </row>
    <row r="22" spans="1:22" x14ac:dyDescent="0.2">
      <c r="A22" s="359"/>
      <c r="B22" s="360" t="str">
        <f>штат!A13</f>
        <v>Слюсар-сантехнік</v>
      </c>
      <c r="C22" s="374">
        <f>штат!B13</f>
        <v>1</v>
      </c>
      <c r="D22" s="366">
        <f>штат!C13</f>
        <v>3850</v>
      </c>
      <c r="E22" s="366">
        <f>штат!K13</f>
        <v>3355.018333333333</v>
      </c>
      <c r="F22" s="364">
        <f>штат!L13</f>
        <v>2349.4304166666666</v>
      </c>
      <c r="G22" s="362">
        <f>штат!$M13*G$55</f>
        <v>5134.0038749999994</v>
      </c>
      <c r="H22" s="365">
        <f t="shared" si="3"/>
        <v>0.11512355198719156</v>
      </c>
      <c r="I22" s="374">
        <f t="shared" si="11"/>
        <v>1</v>
      </c>
      <c r="J22" s="366">
        <f t="shared" si="4"/>
        <v>3850</v>
      </c>
      <c r="K22" s="366">
        <f t="shared" si="5"/>
        <v>3355.018333333333</v>
      </c>
      <c r="L22" s="364">
        <f t="shared" si="6"/>
        <v>2349.4304166666666</v>
      </c>
      <c r="M22" s="362">
        <f>штат!$M13*M$55</f>
        <v>570.4448749999998</v>
      </c>
      <c r="N22" s="365">
        <f t="shared" si="1"/>
        <v>8.0344348591549264E-2</v>
      </c>
      <c r="O22" s="374">
        <f t="shared" si="12"/>
        <v>1</v>
      </c>
      <c r="P22" s="366">
        <f t="shared" si="7"/>
        <v>3850</v>
      </c>
      <c r="Q22" s="366">
        <f t="shared" si="8"/>
        <v>3355.018333333333</v>
      </c>
      <c r="R22" s="364">
        <f t="shared" si="9"/>
        <v>2349.4304166666666</v>
      </c>
      <c r="S22" s="362">
        <f>штат!$M13*S$55</f>
        <v>0</v>
      </c>
      <c r="T22" s="365">
        <f t="shared" si="10"/>
        <v>0</v>
      </c>
      <c r="U22" s="420">
        <f t="shared" si="2"/>
        <v>5704.4487499999996</v>
      </c>
      <c r="V22" s="368" t="e">
        <f>#REF!-#REF!-#REF!-#REF!</f>
        <v>#REF!</v>
      </c>
    </row>
    <row r="23" spans="1:22" x14ac:dyDescent="0.2">
      <c r="A23" s="359"/>
      <c r="B23" s="360" t="str">
        <f>штат!A14</f>
        <v>Диспетчер</v>
      </c>
      <c r="C23" s="374">
        <f>штат!B14</f>
        <v>4</v>
      </c>
      <c r="D23" s="366">
        <f>штат!C14</f>
        <v>3106</v>
      </c>
      <c r="E23" s="366">
        <f>штат!K14</f>
        <v>10826.687733333334</v>
      </c>
      <c r="F23" s="364">
        <f>штат!L14</f>
        <v>7581.6424666666671</v>
      </c>
      <c r="G23" s="362">
        <f>штат!$M14*G$55</f>
        <v>16567.497180000002</v>
      </c>
      <c r="H23" s="365">
        <f t="shared" si="3"/>
        <v>0.371505197373732</v>
      </c>
      <c r="I23" s="374">
        <f t="shared" si="11"/>
        <v>4</v>
      </c>
      <c r="J23" s="366">
        <f t="shared" si="4"/>
        <v>3106</v>
      </c>
      <c r="K23" s="366">
        <f t="shared" si="5"/>
        <v>10826.687733333334</v>
      </c>
      <c r="L23" s="364">
        <f t="shared" si="6"/>
        <v>7581.6424666666671</v>
      </c>
      <c r="M23" s="362">
        <f>штат!$M14*M$55</f>
        <v>1840.8330199999996</v>
      </c>
      <c r="N23" s="365">
        <f t="shared" si="1"/>
        <v>0.25927225633802808</v>
      </c>
      <c r="O23" s="374">
        <f t="shared" si="12"/>
        <v>4</v>
      </c>
      <c r="P23" s="366">
        <f t="shared" si="7"/>
        <v>3106</v>
      </c>
      <c r="Q23" s="366">
        <f t="shared" si="8"/>
        <v>10826.687733333334</v>
      </c>
      <c r="R23" s="364">
        <f t="shared" si="9"/>
        <v>7581.6424666666671</v>
      </c>
      <c r="S23" s="362">
        <f>штат!$M14*S$55</f>
        <v>0</v>
      </c>
      <c r="T23" s="365">
        <f t="shared" si="10"/>
        <v>0</v>
      </c>
      <c r="U23" s="420">
        <f t="shared" si="2"/>
        <v>18408.3302</v>
      </c>
      <c r="V23" s="368" t="e">
        <f>#REF!-#REF!-#REF!-#REF!</f>
        <v>#REF!</v>
      </c>
    </row>
    <row r="24" spans="1:22" hidden="1" x14ac:dyDescent="0.2">
      <c r="A24" s="359"/>
      <c r="B24" s="360"/>
      <c r="C24" s="374"/>
      <c r="D24" s="366"/>
      <c r="E24" s="366"/>
      <c r="F24" s="364"/>
      <c r="G24" s="362"/>
      <c r="H24" s="365"/>
      <c r="I24" s="374"/>
      <c r="J24" s="366"/>
      <c r="K24" s="366"/>
      <c r="L24" s="364"/>
      <c r="M24" s="362"/>
      <c r="N24" s="365"/>
      <c r="O24" s="374"/>
      <c r="P24" s="366"/>
      <c r="Q24" s="366"/>
      <c r="R24" s="364"/>
      <c r="S24" s="362"/>
      <c r="T24" s="365"/>
      <c r="U24" s="420"/>
      <c r="V24" s="368"/>
    </row>
    <row r="25" spans="1:22" x14ac:dyDescent="0.2">
      <c r="A25" s="359"/>
      <c r="B25" s="360" t="str">
        <f>штат!A15</f>
        <v>Двіорник</v>
      </c>
      <c r="C25" s="374">
        <f>штат!B15</f>
        <v>2</v>
      </c>
      <c r="D25" s="366">
        <f>штат!C15</f>
        <v>3480</v>
      </c>
      <c r="E25" s="366">
        <f>штат!K15</f>
        <v>6065.1759999999995</v>
      </c>
      <c r="F25" s="364">
        <f>штат!L15</f>
        <v>4247.2820000000011</v>
      </c>
      <c r="G25" s="362">
        <f>штат!$M15*G$55</f>
        <v>9281.2121999999999</v>
      </c>
      <c r="H25" s="365">
        <f t="shared" si="3"/>
        <v>0.20811946021580605</v>
      </c>
      <c r="I25" s="374">
        <f t="shared" si="11"/>
        <v>2</v>
      </c>
      <c r="J25" s="366">
        <f t="shared" si="4"/>
        <v>3480</v>
      </c>
      <c r="K25" s="366">
        <f t="shared" si="5"/>
        <v>6065.1759999999995</v>
      </c>
      <c r="L25" s="364">
        <f t="shared" si="6"/>
        <v>4247.2820000000011</v>
      </c>
      <c r="M25" s="362">
        <f>штат!$M15*M$55</f>
        <v>1031.2457999999999</v>
      </c>
      <c r="N25" s="365">
        <f t="shared" si="1"/>
        <v>0.14524588732394364</v>
      </c>
      <c r="O25" s="374">
        <f t="shared" si="12"/>
        <v>2</v>
      </c>
      <c r="P25" s="366">
        <f t="shared" si="7"/>
        <v>3480</v>
      </c>
      <c r="Q25" s="366">
        <f t="shared" si="8"/>
        <v>6065.1759999999995</v>
      </c>
      <c r="R25" s="364">
        <f t="shared" si="9"/>
        <v>4247.2820000000011</v>
      </c>
      <c r="S25" s="362">
        <f>штат!$M15*S$55</f>
        <v>0</v>
      </c>
      <c r="T25" s="365">
        <f t="shared" si="10"/>
        <v>0</v>
      </c>
      <c r="U25" s="420">
        <f t="shared" ref="U25:U53" si="13">G25+M25+S25</f>
        <v>10312.458000000001</v>
      </c>
      <c r="V25" s="368" t="e">
        <f>#REF!-#REF!-#REF!-#REF!</f>
        <v>#REF!</v>
      </c>
    </row>
    <row r="26" spans="1:22" x14ac:dyDescent="0.2">
      <c r="A26" s="398"/>
      <c r="B26" s="399" t="str">
        <f>штат!A16</f>
        <v>Прибиральник</v>
      </c>
      <c r="C26" s="400">
        <f>штат!B16</f>
        <v>5</v>
      </c>
      <c r="D26" s="401">
        <f>штат!C16</f>
        <v>3106</v>
      </c>
      <c r="E26" s="401">
        <f>штат!K16</f>
        <v>13533.359666666667</v>
      </c>
      <c r="F26" s="402">
        <f>штат!L16</f>
        <v>9477.0530833333341</v>
      </c>
      <c r="G26" s="403">
        <f>штат!$M16*G$55</f>
        <v>20709.371475000004</v>
      </c>
      <c r="H26" s="404">
        <f t="shared" si="3"/>
        <v>0.464381496717165</v>
      </c>
      <c r="I26" s="400">
        <f t="shared" si="11"/>
        <v>5</v>
      </c>
      <c r="J26" s="401">
        <f t="shared" si="4"/>
        <v>3106</v>
      </c>
      <c r="K26" s="401">
        <f t="shared" si="5"/>
        <v>13533.359666666667</v>
      </c>
      <c r="L26" s="402">
        <f t="shared" si="6"/>
        <v>9477.0530833333341</v>
      </c>
      <c r="M26" s="403">
        <f>штат!$M16*M$55</f>
        <v>2301.0412749999996</v>
      </c>
      <c r="N26" s="404">
        <f t="shared" si="1"/>
        <v>0.32409032042253516</v>
      </c>
      <c r="O26" s="400">
        <f t="shared" si="12"/>
        <v>5</v>
      </c>
      <c r="P26" s="401">
        <f t="shared" si="7"/>
        <v>3106</v>
      </c>
      <c r="Q26" s="401">
        <f t="shared" si="8"/>
        <v>13533.359666666667</v>
      </c>
      <c r="R26" s="402">
        <f t="shared" si="9"/>
        <v>9477.0530833333341</v>
      </c>
      <c r="S26" s="403">
        <f>штат!$M16*S$55</f>
        <v>0</v>
      </c>
      <c r="T26" s="404">
        <f t="shared" si="10"/>
        <v>0</v>
      </c>
      <c r="U26" s="447">
        <f t="shared" si="13"/>
        <v>23010.412750000003</v>
      </c>
      <c r="V26" s="368" t="e">
        <f>#REF!-#REF!-#REF!-#REF!</f>
        <v>#REF!</v>
      </c>
    </row>
    <row r="27" spans="1:22" s="353" customFormat="1" x14ac:dyDescent="0.2">
      <c r="A27" s="391">
        <v>2</v>
      </c>
      <c r="B27" s="392" t="s">
        <v>244</v>
      </c>
      <c r="C27" s="393"/>
      <c r="D27" s="393"/>
      <c r="E27" s="394"/>
      <c r="F27" s="392"/>
      <c r="G27" s="396"/>
      <c r="H27" s="365">
        <f t="shared" si="3"/>
        <v>0</v>
      </c>
      <c r="I27" s="393"/>
      <c r="J27" s="393"/>
      <c r="K27" s="394"/>
      <c r="L27" s="392"/>
      <c r="M27" s="396"/>
      <c r="N27" s="365">
        <f t="shared" si="1"/>
        <v>0</v>
      </c>
      <c r="O27" s="393"/>
      <c r="P27" s="393"/>
      <c r="Q27" s="394"/>
      <c r="R27" s="392"/>
      <c r="S27" s="396"/>
      <c r="T27" s="365">
        <f t="shared" si="10"/>
        <v>0</v>
      </c>
      <c r="U27" s="446">
        <f t="shared" si="13"/>
        <v>0</v>
      </c>
      <c r="V27" s="368" t="e">
        <f>#REF!-#REF!-#REF!-#REF!</f>
        <v>#REF!</v>
      </c>
    </row>
    <row r="28" spans="1:22" x14ac:dyDescent="0.2">
      <c r="A28" s="398"/>
      <c r="B28" s="399" t="s">
        <v>247</v>
      </c>
      <c r="C28" s="400"/>
      <c r="D28" s="400"/>
      <c r="E28" s="400"/>
      <c r="F28" s="399"/>
      <c r="G28" s="403">
        <v>0</v>
      </c>
      <c r="H28" s="404">
        <f t="shared" si="3"/>
        <v>0</v>
      </c>
      <c r="I28" s="400"/>
      <c r="J28" s="400"/>
      <c r="K28" s="400"/>
      <c r="L28" s="399"/>
      <c r="M28" s="403">
        <v>23000</v>
      </c>
      <c r="N28" s="404">
        <f t="shared" si="1"/>
        <v>3.23943661971831</v>
      </c>
      <c r="O28" s="400"/>
      <c r="P28" s="400"/>
      <c r="Q28" s="400"/>
      <c r="R28" s="399"/>
      <c r="S28" s="403">
        <v>27000</v>
      </c>
      <c r="T28" s="404">
        <f t="shared" si="10"/>
        <v>278.35051546391753</v>
      </c>
      <c r="U28" s="447">
        <f t="shared" si="13"/>
        <v>50000</v>
      </c>
      <c r="V28" s="368" t="e">
        <f>#REF!-#REF!-#REF!-#REF!</f>
        <v>#REF!</v>
      </c>
    </row>
    <row r="29" spans="1:22" s="353" customFormat="1" hidden="1" x14ac:dyDescent="0.2">
      <c r="A29" s="405">
        <v>3</v>
      </c>
      <c r="B29" s="406" t="s">
        <v>347</v>
      </c>
      <c r="C29" s="407"/>
      <c r="D29" s="407"/>
      <c r="E29" s="407"/>
      <c r="F29" s="406"/>
      <c r="G29" s="408"/>
      <c r="H29" s="409">
        <f t="shared" si="3"/>
        <v>0</v>
      </c>
      <c r="I29" s="407"/>
      <c r="J29" s="407"/>
      <c r="K29" s="407"/>
      <c r="L29" s="406"/>
      <c r="M29" s="408"/>
      <c r="N29" s="409">
        <f t="shared" si="1"/>
        <v>0</v>
      </c>
      <c r="O29" s="407"/>
      <c r="P29" s="407"/>
      <c r="Q29" s="407"/>
      <c r="R29" s="406"/>
      <c r="S29" s="408"/>
      <c r="T29" s="409">
        <f t="shared" si="10"/>
        <v>0</v>
      </c>
      <c r="U29" s="448">
        <f t="shared" si="13"/>
        <v>0</v>
      </c>
      <c r="V29" s="368" t="e">
        <f>#REF!-#REF!-#REF!-#REF!</f>
        <v>#REF!</v>
      </c>
    </row>
    <row r="30" spans="1:22" s="353" customFormat="1" x14ac:dyDescent="0.2">
      <c r="A30" s="391">
        <v>3</v>
      </c>
      <c r="B30" s="392" t="s">
        <v>353</v>
      </c>
      <c r="C30" s="393"/>
      <c r="D30" s="393"/>
      <c r="E30" s="393"/>
      <c r="F30" s="392"/>
      <c r="G30" s="396"/>
      <c r="H30" s="397">
        <f t="shared" si="3"/>
        <v>0</v>
      </c>
      <c r="I30" s="393"/>
      <c r="J30" s="393"/>
      <c r="K30" s="393"/>
      <c r="L30" s="392"/>
      <c r="M30" s="396"/>
      <c r="N30" s="397">
        <f t="shared" si="1"/>
        <v>0</v>
      </c>
      <c r="O30" s="393"/>
      <c r="P30" s="393"/>
      <c r="Q30" s="393"/>
      <c r="R30" s="392"/>
      <c r="S30" s="396"/>
      <c r="T30" s="397">
        <f t="shared" si="10"/>
        <v>0</v>
      </c>
      <c r="U30" s="446">
        <f t="shared" si="13"/>
        <v>0</v>
      </c>
      <c r="V30" s="368" t="e">
        <f>#REF!-#REF!-#REF!-#REF!</f>
        <v>#REF!</v>
      </c>
    </row>
    <row r="31" spans="1:22" s="415" customFormat="1" x14ac:dyDescent="0.2">
      <c r="A31" s="410"/>
      <c r="B31" s="411" t="s">
        <v>254</v>
      </c>
      <c r="C31" s="412">
        <f>2400/12</f>
        <v>200</v>
      </c>
      <c r="D31" s="413">
        <v>65.05</v>
      </c>
      <c r="E31" s="413"/>
      <c r="F31" s="411"/>
      <c r="G31" s="412">
        <f>C31*D31</f>
        <v>13010</v>
      </c>
      <c r="H31" s="414">
        <f t="shared" si="3"/>
        <v>0.29173281669043583</v>
      </c>
      <c r="I31" s="412"/>
      <c r="J31" s="413"/>
      <c r="K31" s="413"/>
      <c r="L31" s="411"/>
      <c r="M31" s="412"/>
      <c r="N31" s="365">
        <f t="shared" si="1"/>
        <v>0</v>
      </c>
      <c r="O31" s="412"/>
      <c r="P31" s="413"/>
      <c r="Q31" s="413"/>
      <c r="R31" s="411"/>
      <c r="S31" s="412"/>
      <c r="T31" s="365">
        <f t="shared" si="10"/>
        <v>0</v>
      </c>
      <c r="U31" s="367">
        <f t="shared" si="13"/>
        <v>13010</v>
      </c>
      <c r="V31" s="368" t="e">
        <f>#REF!-#REF!-#REF!-#REF!</f>
        <v>#REF!</v>
      </c>
    </row>
    <row r="32" spans="1:22" s="415" customFormat="1" x14ac:dyDescent="0.2">
      <c r="A32" s="410"/>
      <c r="B32" s="411" t="s">
        <v>253</v>
      </c>
      <c r="C32" s="413"/>
      <c r="D32" s="413"/>
      <c r="E32" s="413"/>
      <c r="F32" s="411"/>
      <c r="G32" s="412">
        <f>630*16+1500</f>
        <v>11580</v>
      </c>
      <c r="H32" s="414">
        <f t="shared" si="3"/>
        <v>0.25966687296504587</v>
      </c>
      <c r="I32" s="413"/>
      <c r="J32" s="413"/>
      <c r="K32" s="413"/>
      <c r="L32" s="411"/>
      <c r="M32" s="412"/>
      <c r="N32" s="365">
        <f t="shared" si="1"/>
        <v>0</v>
      </c>
      <c r="O32" s="413"/>
      <c r="P32" s="413"/>
      <c r="Q32" s="413"/>
      <c r="R32" s="411"/>
      <c r="S32" s="412"/>
      <c r="T32" s="365">
        <f t="shared" si="10"/>
        <v>0</v>
      </c>
      <c r="U32" s="367">
        <f t="shared" si="13"/>
        <v>11580</v>
      </c>
      <c r="V32" s="368" t="e">
        <f>#REF!-#REF!-#REF!-#REF!</f>
        <v>#REF!</v>
      </c>
    </row>
    <row r="33" spans="1:22" s="415" customFormat="1" x14ac:dyDescent="0.2">
      <c r="A33" s="410"/>
      <c r="B33" s="411" t="s">
        <v>256</v>
      </c>
      <c r="C33" s="412">
        <f>(11+9)*8*24*365*0.5/12/4.2</f>
        <v>13904.761904761905</v>
      </c>
      <c r="D33" s="371">
        <v>0.63</v>
      </c>
      <c r="E33" s="374"/>
      <c r="F33" s="360"/>
      <c r="G33" s="370">
        <f>C33*D33</f>
        <v>8760</v>
      </c>
      <c r="H33" s="414">
        <f>G33/C$4</f>
        <v>0.19643193498910208</v>
      </c>
      <c r="I33" s="412"/>
      <c r="J33" s="413"/>
      <c r="K33" s="413"/>
      <c r="L33" s="411"/>
      <c r="M33" s="412"/>
      <c r="N33" s="365">
        <f>M33/I$4</f>
        <v>0</v>
      </c>
      <c r="O33" s="412"/>
      <c r="P33" s="413"/>
      <c r="Q33" s="413"/>
      <c r="R33" s="411"/>
      <c r="S33" s="412"/>
      <c r="T33" s="365">
        <f>S33/O$4</f>
        <v>0</v>
      </c>
      <c r="U33" s="367">
        <f t="shared" si="13"/>
        <v>8760</v>
      </c>
      <c r="V33" s="368" t="e">
        <f>#REF!-#REF!-#REF!-#REF!</f>
        <v>#REF!</v>
      </c>
    </row>
    <row r="34" spans="1:22" s="415" customFormat="1" x14ac:dyDescent="0.2">
      <c r="A34" s="410"/>
      <c r="B34" s="411" t="s">
        <v>255</v>
      </c>
      <c r="C34" s="412">
        <f>(32120+168192)/12/4.2</f>
        <v>3974.4444444444443</v>
      </c>
      <c r="D34" s="371">
        <v>0.63</v>
      </c>
      <c r="E34" s="374"/>
      <c r="F34" s="360"/>
      <c r="G34" s="370">
        <f>C34*D34</f>
        <v>2503.9</v>
      </c>
      <c r="H34" s="414">
        <f t="shared" si="3"/>
        <v>5.6146794751051679E-2</v>
      </c>
      <c r="I34" s="412"/>
      <c r="J34" s="413"/>
      <c r="K34" s="413"/>
      <c r="L34" s="411"/>
      <c r="M34" s="412"/>
      <c r="N34" s="365">
        <f t="shared" si="1"/>
        <v>0</v>
      </c>
      <c r="O34" s="412">
        <f>(168192)/12/2.2</f>
        <v>6370.9090909090901</v>
      </c>
      <c r="P34" s="371">
        <v>0.63</v>
      </c>
      <c r="Q34" s="413"/>
      <c r="R34" s="411"/>
      <c r="S34" s="370">
        <f>O34*P34</f>
        <v>4013.6727272727267</v>
      </c>
      <c r="T34" s="414">
        <f>S34/O$4</f>
        <v>41.378069353327078</v>
      </c>
      <c r="U34" s="367">
        <f t="shared" si="13"/>
        <v>6517.5727272727272</v>
      </c>
      <c r="V34" s="368" t="e">
        <f>#REF!-#REF!-#REF!-#REF!</f>
        <v>#REF!</v>
      </c>
    </row>
    <row r="35" spans="1:22" x14ac:dyDescent="0.2">
      <c r="A35" s="416"/>
      <c r="B35" s="360" t="s">
        <v>329</v>
      </c>
      <c r="C35" s="374"/>
      <c r="D35" s="374"/>
      <c r="E35" s="374"/>
      <c r="F35" s="364"/>
      <c r="G35" s="362">
        <f>1500*4/12</f>
        <v>500</v>
      </c>
      <c r="H35" s="365">
        <f>G35/C$4</f>
        <v>1.1211868435451031E-2</v>
      </c>
      <c r="I35" s="374"/>
      <c r="J35" s="374"/>
      <c r="K35" s="413"/>
      <c r="L35" s="411"/>
      <c r="M35" s="412"/>
      <c r="N35" s="365">
        <f>M35/I$4</f>
        <v>0</v>
      </c>
      <c r="O35" s="412"/>
      <c r="P35" s="413"/>
      <c r="Q35" s="413"/>
      <c r="R35" s="411"/>
      <c r="S35" s="362"/>
      <c r="T35" s="365">
        <f t="shared" si="10"/>
        <v>0</v>
      </c>
      <c r="U35" s="367">
        <f t="shared" si="13"/>
        <v>500</v>
      </c>
    </row>
    <row r="36" spans="1:22" x14ac:dyDescent="0.2">
      <c r="A36" s="416"/>
      <c r="B36" s="417" t="s">
        <v>332</v>
      </c>
      <c r="C36" s="374"/>
      <c r="D36" s="374"/>
      <c r="E36" s="374"/>
      <c r="F36" s="364"/>
      <c r="G36" s="362">
        <f>20000/12</f>
        <v>1666.6666666666667</v>
      </c>
      <c r="H36" s="365">
        <f>G36/C$4</f>
        <v>3.7372894784836776E-2</v>
      </c>
      <c r="I36" s="374"/>
      <c r="J36" s="374"/>
      <c r="K36" s="413"/>
      <c r="L36" s="411"/>
      <c r="M36" s="412"/>
      <c r="N36" s="365">
        <f>M36/I$4</f>
        <v>0</v>
      </c>
      <c r="O36" s="412"/>
      <c r="P36" s="413"/>
      <c r="Q36" s="413"/>
      <c r="R36" s="411"/>
      <c r="S36" s="362"/>
      <c r="T36" s="365">
        <f t="shared" si="10"/>
        <v>0</v>
      </c>
      <c r="U36" s="367">
        <f t="shared" si="13"/>
        <v>1666.6666666666667</v>
      </c>
    </row>
    <row r="37" spans="1:22" x14ac:dyDescent="0.2">
      <c r="A37" s="359"/>
      <c r="B37" s="360" t="s">
        <v>346</v>
      </c>
      <c r="C37" s="374">
        <v>183.3</v>
      </c>
      <c r="D37" s="418">
        <f>3.576</f>
        <v>3.5760000000000001</v>
      </c>
      <c r="E37" s="374"/>
      <c r="F37" s="360"/>
      <c r="G37" s="362">
        <f>D37*C37</f>
        <v>655.48080000000004</v>
      </c>
      <c r="H37" s="365">
        <f t="shared" si="3"/>
        <v>1.4698328983128383E-2</v>
      </c>
      <c r="I37" s="374"/>
      <c r="J37" s="374"/>
      <c r="K37" s="413"/>
      <c r="L37" s="411"/>
      <c r="M37" s="412"/>
      <c r="N37" s="365">
        <f>M37/I$4</f>
        <v>0</v>
      </c>
      <c r="O37" s="412"/>
      <c r="P37" s="413"/>
      <c r="Q37" s="413"/>
      <c r="R37" s="411"/>
      <c r="S37" s="362"/>
      <c r="T37" s="365">
        <f t="shared" si="10"/>
        <v>0</v>
      </c>
      <c r="U37" s="367">
        <f t="shared" si="13"/>
        <v>655.48080000000004</v>
      </c>
      <c r="V37" s="368" t="e">
        <f>#REF!-#REF!-#REF!-#REF!</f>
        <v>#REF!</v>
      </c>
    </row>
    <row r="38" spans="1:22" x14ac:dyDescent="0.2">
      <c r="A38" s="359"/>
      <c r="B38" s="360" t="s">
        <v>336</v>
      </c>
      <c r="C38" s="374">
        <v>300</v>
      </c>
      <c r="D38" s="419">
        <v>0.38</v>
      </c>
      <c r="E38" s="374"/>
      <c r="F38" s="360"/>
      <c r="G38" s="362">
        <f>D38*C38</f>
        <v>114</v>
      </c>
      <c r="H38" s="365">
        <f>G38/C$4</f>
        <v>2.5563060032828353E-3</v>
      </c>
      <c r="I38" s="374"/>
      <c r="J38" s="374"/>
      <c r="K38" s="374"/>
      <c r="L38" s="420"/>
      <c r="M38" s="362"/>
      <c r="N38" s="365"/>
      <c r="O38" s="374"/>
      <c r="P38" s="374"/>
      <c r="Q38" s="374"/>
      <c r="R38" s="420"/>
      <c r="S38" s="362"/>
      <c r="T38" s="365"/>
      <c r="U38" s="420">
        <f t="shared" si="13"/>
        <v>114</v>
      </c>
      <c r="V38" s="368" t="e">
        <f>#REF!-#REF!-#REF!-#REF!</f>
        <v>#REF!</v>
      </c>
    </row>
    <row r="39" spans="1:22" x14ac:dyDescent="0.2">
      <c r="A39" s="359"/>
      <c r="B39" s="411" t="s">
        <v>257</v>
      </c>
      <c r="C39" s="374"/>
      <c r="D39" s="374"/>
      <c r="E39" s="374"/>
      <c r="F39" s="360"/>
      <c r="G39" s="362">
        <v>8000</v>
      </c>
      <c r="H39" s="365">
        <f t="shared" si="3"/>
        <v>0.1793898949672165</v>
      </c>
      <c r="I39" s="374"/>
      <c r="J39" s="374"/>
      <c r="K39" s="374"/>
      <c r="L39" s="360"/>
      <c r="M39" s="362"/>
      <c r="N39" s="365">
        <f t="shared" si="1"/>
        <v>0</v>
      </c>
      <c r="O39" s="374"/>
      <c r="P39" s="374"/>
      <c r="Q39" s="374"/>
      <c r="R39" s="360"/>
      <c r="S39" s="362"/>
      <c r="T39" s="365">
        <f t="shared" si="10"/>
        <v>0</v>
      </c>
      <c r="U39" s="420">
        <f t="shared" si="13"/>
        <v>8000</v>
      </c>
      <c r="V39" s="368" t="e">
        <f>#REF!-#REF!-#REF!-#REF!</f>
        <v>#REF!</v>
      </c>
    </row>
    <row r="40" spans="1:22" x14ac:dyDescent="0.2">
      <c r="A40" s="359"/>
      <c r="B40" s="360" t="s">
        <v>337</v>
      </c>
      <c r="C40" s="374"/>
      <c r="D40" s="374"/>
      <c r="E40" s="374"/>
      <c r="F40" s="360"/>
      <c r="G40" s="362">
        <v>1000</v>
      </c>
      <c r="H40" s="365">
        <f t="shared" si="3"/>
        <v>2.2423736870902062E-2</v>
      </c>
      <c r="I40" s="374"/>
      <c r="J40" s="374"/>
      <c r="K40" s="374"/>
      <c r="L40" s="360"/>
      <c r="M40" s="362"/>
      <c r="N40" s="365">
        <f t="shared" si="1"/>
        <v>0</v>
      </c>
      <c r="O40" s="374"/>
      <c r="P40" s="374"/>
      <c r="Q40" s="374"/>
      <c r="R40" s="360"/>
      <c r="S40" s="362"/>
      <c r="T40" s="365">
        <f t="shared" si="10"/>
        <v>0</v>
      </c>
      <c r="U40" s="420">
        <f t="shared" si="13"/>
        <v>1000</v>
      </c>
      <c r="V40" s="368" t="e">
        <f>#REF!-#REF!-#REF!-#REF!</f>
        <v>#REF!</v>
      </c>
    </row>
    <row r="41" spans="1:22" x14ac:dyDescent="0.2">
      <c r="A41" s="359"/>
      <c r="B41" s="360" t="s">
        <v>338</v>
      </c>
      <c r="C41" s="374"/>
      <c r="D41" s="374"/>
      <c r="E41" s="374"/>
      <c r="F41" s="360"/>
      <c r="G41" s="362">
        <v>129</v>
      </c>
      <c r="H41" s="365">
        <f t="shared" si="3"/>
        <v>2.8926620563463662E-3</v>
      </c>
      <c r="I41" s="374"/>
      <c r="J41" s="374"/>
      <c r="K41" s="374"/>
      <c r="L41" s="360"/>
      <c r="M41" s="362"/>
      <c r="N41" s="365">
        <f t="shared" si="1"/>
        <v>0</v>
      </c>
      <c r="O41" s="374"/>
      <c r="P41" s="374"/>
      <c r="Q41" s="374"/>
      <c r="R41" s="360"/>
      <c r="S41" s="362"/>
      <c r="T41" s="365">
        <f t="shared" si="10"/>
        <v>0</v>
      </c>
      <c r="U41" s="420">
        <f t="shared" si="13"/>
        <v>129</v>
      </c>
      <c r="V41" s="368" t="e">
        <f>#REF!-#REF!-#REF!-#REF!</f>
        <v>#REF!</v>
      </c>
    </row>
    <row r="42" spans="1:22" x14ac:dyDescent="0.2">
      <c r="A42" s="416"/>
      <c r="B42" s="360" t="s">
        <v>339</v>
      </c>
      <c r="C42" s="374"/>
      <c r="D42" s="374"/>
      <c r="E42" s="374"/>
      <c r="F42" s="360"/>
      <c r="G42" s="362">
        <v>550</v>
      </c>
      <c r="H42" s="365">
        <f t="shared" si="3"/>
        <v>1.2333055278996134E-2</v>
      </c>
      <c r="I42" s="374"/>
      <c r="J42" s="374"/>
      <c r="K42" s="374"/>
      <c r="L42" s="360"/>
      <c r="M42" s="362"/>
      <c r="N42" s="365">
        <f t="shared" si="1"/>
        <v>0</v>
      </c>
      <c r="O42" s="374"/>
      <c r="P42" s="374"/>
      <c r="Q42" s="374"/>
      <c r="R42" s="360"/>
      <c r="S42" s="362"/>
      <c r="T42" s="365">
        <f t="shared" si="10"/>
        <v>0</v>
      </c>
      <c r="U42" s="420">
        <f t="shared" si="13"/>
        <v>550</v>
      </c>
      <c r="V42" s="368" t="e">
        <f>#REF!-#REF!-#REF!-#REF!</f>
        <v>#REF!</v>
      </c>
    </row>
    <row r="43" spans="1:22" x14ac:dyDescent="0.2">
      <c r="A43" s="416"/>
      <c r="B43" s="360" t="s">
        <v>340</v>
      </c>
      <c r="C43" s="374"/>
      <c r="D43" s="374"/>
      <c r="E43" s="374"/>
      <c r="F43" s="360"/>
      <c r="G43" s="362">
        <v>50</v>
      </c>
      <c r="H43" s="365">
        <f t="shared" si="3"/>
        <v>1.1211868435451031E-3</v>
      </c>
      <c r="I43" s="374"/>
      <c r="J43" s="374"/>
      <c r="K43" s="374"/>
      <c r="L43" s="360"/>
      <c r="M43" s="362"/>
      <c r="N43" s="365">
        <f t="shared" si="1"/>
        <v>0</v>
      </c>
      <c r="O43" s="374"/>
      <c r="P43" s="374"/>
      <c r="Q43" s="374"/>
      <c r="R43" s="360"/>
      <c r="S43" s="362"/>
      <c r="T43" s="365">
        <f t="shared" si="10"/>
        <v>0</v>
      </c>
      <c r="U43" s="420">
        <f t="shared" si="13"/>
        <v>50</v>
      </c>
      <c r="V43" s="368" t="e">
        <f>#REF!-#REF!-#REF!-#REF!</f>
        <v>#REF!</v>
      </c>
    </row>
    <row r="44" spans="1:22" x14ac:dyDescent="0.2">
      <c r="A44" s="416"/>
      <c r="B44" s="360" t="s">
        <v>341</v>
      </c>
      <c r="C44" s="374"/>
      <c r="D44" s="374"/>
      <c r="E44" s="374"/>
      <c r="F44" s="360"/>
      <c r="G44" s="362">
        <v>353.35078424244398</v>
      </c>
      <c r="H44" s="365">
        <f t="shared" si="3"/>
        <v>7.9234450089794503E-3</v>
      </c>
      <c r="I44" s="374"/>
      <c r="J44" s="374"/>
      <c r="K44" s="374"/>
      <c r="L44" s="360"/>
      <c r="M44" s="362"/>
      <c r="N44" s="365">
        <f t="shared" si="1"/>
        <v>0</v>
      </c>
      <c r="O44" s="374"/>
      <c r="P44" s="374"/>
      <c r="Q44" s="374"/>
      <c r="R44" s="360"/>
      <c r="S44" s="362"/>
      <c r="T44" s="365">
        <f t="shared" si="10"/>
        <v>0</v>
      </c>
      <c r="U44" s="420">
        <f t="shared" si="13"/>
        <v>353.35078424244398</v>
      </c>
      <c r="V44" s="368" t="e">
        <f>#REF!-#REF!-#REF!-#REF!</f>
        <v>#REF!</v>
      </c>
    </row>
    <row r="45" spans="1:22" x14ac:dyDescent="0.2">
      <c r="A45" s="416"/>
      <c r="B45" s="360" t="s">
        <v>342</v>
      </c>
      <c r="C45" s="374"/>
      <c r="D45" s="374"/>
      <c r="E45" s="374"/>
      <c r="F45" s="360"/>
      <c r="G45" s="362">
        <v>1150</v>
      </c>
      <c r="H45" s="365">
        <f t="shared" si="3"/>
        <v>2.5787297401537373E-2</v>
      </c>
      <c r="I45" s="374"/>
      <c r="J45" s="374"/>
      <c r="K45" s="374"/>
      <c r="L45" s="360"/>
      <c r="M45" s="362"/>
      <c r="N45" s="365">
        <f t="shared" si="1"/>
        <v>0</v>
      </c>
      <c r="O45" s="374"/>
      <c r="P45" s="374"/>
      <c r="Q45" s="374"/>
      <c r="R45" s="360"/>
      <c r="S45" s="362"/>
      <c r="T45" s="365">
        <f t="shared" si="10"/>
        <v>0</v>
      </c>
      <c r="U45" s="420">
        <f t="shared" si="13"/>
        <v>1150</v>
      </c>
      <c r="V45" s="368" t="e">
        <f>#REF!-#REF!-#REF!-#REF!</f>
        <v>#REF!</v>
      </c>
    </row>
    <row r="46" spans="1:22" x14ac:dyDescent="0.2">
      <c r="A46" s="416"/>
      <c r="B46" s="360" t="s">
        <v>343</v>
      </c>
      <c r="C46" s="374"/>
      <c r="D46" s="374"/>
      <c r="E46" s="374"/>
      <c r="F46" s="360"/>
      <c r="G46" s="362">
        <v>5000</v>
      </c>
      <c r="H46" s="373">
        <f t="shared" si="3"/>
        <v>0.11211868435451032</v>
      </c>
      <c r="I46" s="374"/>
      <c r="J46" s="374"/>
      <c r="K46" s="374"/>
      <c r="L46" s="360"/>
      <c r="M46" s="362"/>
      <c r="N46" s="373">
        <f t="shared" si="1"/>
        <v>0</v>
      </c>
      <c r="O46" s="374"/>
      <c r="P46" s="374"/>
      <c r="Q46" s="374"/>
      <c r="R46" s="360"/>
      <c r="S46" s="362"/>
      <c r="T46" s="373">
        <f t="shared" si="10"/>
        <v>0</v>
      </c>
      <c r="U46" s="420">
        <f t="shared" si="13"/>
        <v>5000</v>
      </c>
      <c r="V46" s="368" t="e">
        <f>#REF!-#REF!-#REF!-#REF!</f>
        <v>#REF!</v>
      </c>
    </row>
    <row r="47" spans="1:22" x14ac:dyDescent="0.2">
      <c r="A47" s="416"/>
      <c r="B47" s="360" t="s">
        <v>344</v>
      </c>
      <c r="C47" s="374"/>
      <c r="D47" s="374"/>
      <c r="E47" s="374"/>
      <c r="F47" s="360"/>
      <c r="G47" s="362">
        <v>500</v>
      </c>
      <c r="H47" s="373">
        <f t="shared" si="3"/>
        <v>1.1211868435451031E-2</v>
      </c>
      <c r="I47" s="374"/>
      <c r="J47" s="374"/>
      <c r="K47" s="374"/>
      <c r="L47" s="360"/>
      <c r="M47" s="362"/>
      <c r="N47" s="373">
        <f t="shared" si="1"/>
        <v>0</v>
      </c>
      <c r="O47" s="374"/>
      <c r="P47" s="374"/>
      <c r="Q47" s="374"/>
      <c r="R47" s="360"/>
      <c r="S47" s="362"/>
      <c r="T47" s="373">
        <f t="shared" si="10"/>
        <v>0</v>
      </c>
      <c r="U47" s="420">
        <f t="shared" si="13"/>
        <v>500</v>
      </c>
      <c r="V47" s="368" t="e">
        <f>#REF!-#REF!-#REF!-#REF!</f>
        <v>#REF!</v>
      </c>
    </row>
    <row r="48" spans="1:22" x14ac:dyDescent="0.2">
      <c r="A48" s="421"/>
      <c r="B48" s="399" t="s">
        <v>345</v>
      </c>
      <c r="C48" s="400"/>
      <c r="D48" s="400"/>
      <c r="E48" s="400"/>
      <c r="F48" s="399"/>
      <c r="G48" s="403">
        <v>2500</v>
      </c>
      <c r="H48" s="422">
        <f t="shared" si="3"/>
        <v>5.605934217725516E-2</v>
      </c>
      <c r="I48" s="400"/>
      <c r="J48" s="400"/>
      <c r="K48" s="400"/>
      <c r="L48" s="399"/>
      <c r="M48" s="403"/>
      <c r="N48" s="422">
        <f t="shared" si="1"/>
        <v>0</v>
      </c>
      <c r="O48" s="400"/>
      <c r="P48" s="400"/>
      <c r="Q48" s="400"/>
      <c r="R48" s="399"/>
      <c r="S48" s="403"/>
      <c r="T48" s="422">
        <f t="shared" si="10"/>
        <v>0</v>
      </c>
      <c r="U48" s="447">
        <f t="shared" si="13"/>
        <v>2500</v>
      </c>
      <c r="V48" s="368" t="e">
        <f>#REF!-#REF!-#REF!-#REF!</f>
        <v>#REF!</v>
      </c>
    </row>
    <row r="49" spans="1:22" s="353" customFormat="1" x14ac:dyDescent="0.2">
      <c r="A49" s="391">
        <v>4</v>
      </c>
      <c r="B49" s="392" t="s">
        <v>361</v>
      </c>
      <c r="C49" s="393"/>
      <c r="D49" s="393"/>
      <c r="E49" s="393"/>
      <c r="F49" s="392"/>
      <c r="G49" s="396"/>
      <c r="H49" s="397">
        <f>G49/C$4</f>
        <v>0</v>
      </c>
      <c r="I49" s="393"/>
      <c r="J49" s="393"/>
      <c r="K49" s="393"/>
      <c r="L49" s="392"/>
      <c r="M49" s="396"/>
      <c r="N49" s="397">
        <f>M49/I$4</f>
        <v>0</v>
      </c>
      <c r="O49" s="393"/>
      <c r="P49" s="393"/>
      <c r="Q49" s="393"/>
      <c r="R49" s="392"/>
      <c r="S49" s="396"/>
      <c r="T49" s="397">
        <f>S49/O$4</f>
        <v>0</v>
      </c>
      <c r="U49" s="446">
        <f t="shared" si="13"/>
        <v>0</v>
      </c>
      <c r="V49" s="368" t="e">
        <f>#REF!-#REF!-#REF!-#REF!</f>
        <v>#REF!</v>
      </c>
    </row>
    <row r="50" spans="1:22" x14ac:dyDescent="0.2">
      <c r="A50" s="416"/>
      <c r="B50" s="360" t="s">
        <v>348</v>
      </c>
      <c r="C50" s="374"/>
      <c r="D50" s="374"/>
      <c r="E50" s="374"/>
      <c r="F50" s="360"/>
      <c r="G50" s="362">
        <f>19600+4500</f>
        <v>24100</v>
      </c>
      <c r="H50" s="373">
        <f t="shared" si="3"/>
        <v>0.54041205858873975</v>
      </c>
      <c r="I50" s="374"/>
      <c r="J50" s="374"/>
      <c r="K50" s="374"/>
      <c r="L50" s="360"/>
      <c r="M50" s="362">
        <f>M$4*0.0945</f>
        <v>5635.9800000000005</v>
      </c>
      <c r="N50" s="373">
        <f t="shared" si="1"/>
        <v>0.79380000000000006</v>
      </c>
      <c r="O50" s="374"/>
      <c r="P50" s="374"/>
      <c r="Q50" s="374"/>
      <c r="R50" s="360"/>
      <c r="S50" s="362">
        <f>(S$4+S9)*0.0945</f>
        <v>4671.7020000000002</v>
      </c>
      <c r="T50" s="373">
        <f t="shared" si="10"/>
        <v>48.161876288659798</v>
      </c>
      <c r="U50" s="420">
        <f t="shared" si="13"/>
        <v>34407.682000000001</v>
      </c>
      <c r="V50" s="368" t="e">
        <f>#REF!-#REF!-#REF!-#REF!</f>
        <v>#REF!</v>
      </c>
    </row>
    <row r="51" spans="1:22" x14ac:dyDescent="0.2">
      <c r="A51" s="416"/>
      <c r="B51" s="360" t="s">
        <v>349</v>
      </c>
      <c r="C51" s="374"/>
      <c r="D51" s="374"/>
      <c r="E51" s="374"/>
      <c r="F51" s="360"/>
      <c r="G51" s="362">
        <f>G$4*0.1</f>
        <v>25062.727200000001</v>
      </c>
      <c r="H51" s="373">
        <f t="shared" si="3"/>
        <v>0.56200000000000006</v>
      </c>
      <c r="I51" s="374"/>
      <c r="J51" s="374"/>
      <c r="K51" s="374"/>
      <c r="L51" s="360"/>
      <c r="M51" s="362">
        <f>M$4*0.122</f>
        <v>7276.08</v>
      </c>
      <c r="N51" s="373">
        <f t="shared" si="1"/>
        <v>1.0247999999999999</v>
      </c>
      <c r="O51" s="374"/>
      <c r="P51" s="374"/>
      <c r="Q51" s="374"/>
      <c r="R51" s="360"/>
      <c r="S51" s="362">
        <f>(S$4+S9)*0.122</f>
        <v>6031.192</v>
      </c>
      <c r="T51" s="373">
        <f t="shared" si="10"/>
        <v>62.177237113402064</v>
      </c>
      <c r="U51" s="420">
        <f t="shared" si="13"/>
        <v>38369.999200000006</v>
      </c>
      <c r="V51" s="368" t="e">
        <f>#REF!-#REF!-#REF!-#REF!</f>
        <v>#REF!</v>
      </c>
    </row>
    <row r="52" spans="1:22" x14ac:dyDescent="0.2">
      <c r="A52" s="421"/>
      <c r="B52" s="399" t="s">
        <v>350</v>
      </c>
      <c r="C52" s="400"/>
      <c r="D52" s="400"/>
      <c r="E52" s="400"/>
      <c r="F52" s="399"/>
      <c r="G52" s="403">
        <f>(G50+G51)*0.5705218</f>
        <v>28048.407615052958</v>
      </c>
      <c r="H52" s="422">
        <f t="shared" si="3"/>
        <v>0.62895011200775319</v>
      </c>
      <c r="I52" s="400"/>
      <c r="J52" s="400"/>
      <c r="K52" s="400"/>
      <c r="L52" s="399"/>
      <c r="M52" s="403">
        <f>M4-M50-M51-M13-M28</f>
        <v>10906.413554999992</v>
      </c>
      <c r="N52" s="422">
        <f t="shared" si="1"/>
        <v>1.5361145852112665</v>
      </c>
      <c r="O52" s="400"/>
      <c r="P52" s="400"/>
      <c r="Q52" s="400"/>
      <c r="R52" s="399"/>
      <c r="S52" s="403">
        <f>S4+S9-S50-S51-S13-S28-S34</f>
        <v>7719.4332727272731</v>
      </c>
      <c r="T52" s="422">
        <f t="shared" si="10"/>
        <v>79.581786316776018</v>
      </c>
      <c r="U52" s="447">
        <f t="shared" si="13"/>
        <v>46674.25444278022</v>
      </c>
      <c r="V52" s="368"/>
    </row>
    <row r="53" spans="1:22" s="353" customFormat="1" x14ac:dyDescent="0.2">
      <c r="A53" s="423"/>
      <c r="B53" s="406" t="s">
        <v>322</v>
      </c>
      <c r="C53" s="407"/>
      <c r="D53" s="407"/>
      <c r="E53" s="407"/>
      <c r="F53" s="406"/>
      <c r="G53" s="408">
        <f>SUM(G14:G52)</f>
        <v>250627.27107096202</v>
      </c>
      <c r="H53" s="409">
        <f t="shared" si="3"/>
        <v>5.6199999791674973</v>
      </c>
      <c r="I53" s="407"/>
      <c r="J53" s="407"/>
      <c r="K53" s="407"/>
      <c r="L53" s="406"/>
      <c r="M53" s="408">
        <f>SUM(M14:M52)</f>
        <v>59639.999999999993</v>
      </c>
      <c r="N53" s="409">
        <f t="shared" si="1"/>
        <v>8.3999999999999986</v>
      </c>
      <c r="O53" s="407"/>
      <c r="P53" s="407"/>
      <c r="Q53" s="407"/>
      <c r="R53" s="406"/>
      <c r="S53" s="408">
        <f>SUM(S14:S52)</f>
        <v>49436</v>
      </c>
      <c r="T53" s="452">
        <f t="shared" si="10"/>
        <v>509.64948453608247</v>
      </c>
      <c r="U53" s="448">
        <f t="shared" si="13"/>
        <v>359703.27107096202</v>
      </c>
      <c r="V53" s="368" t="e">
        <f>#REF!-#REF!-#REF!-#REF!</f>
        <v>#REF!</v>
      </c>
    </row>
    <row r="54" spans="1:22" hidden="1" outlineLevel="1" x14ac:dyDescent="0.2">
      <c r="A54" s="416"/>
      <c r="B54" s="374"/>
      <c r="C54" s="374"/>
      <c r="D54" s="374"/>
      <c r="E54" s="374"/>
      <c r="F54" s="374"/>
      <c r="G54" s="362">
        <f>G4-G53</f>
        <v>9.2903798213228583E-4</v>
      </c>
      <c r="H54" s="362">
        <f>D4-H53</f>
        <v>2.0832502833911803E-8</v>
      </c>
      <c r="I54" s="362"/>
      <c r="J54" s="362"/>
      <c r="K54" s="362"/>
      <c r="L54" s="362"/>
      <c r="M54" s="362">
        <f>M4-M53</f>
        <v>0</v>
      </c>
      <c r="N54" s="362">
        <f>J4-N53</f>
        <v>0</v>
      </c>
      <c r="O54" s="362"/>
      <c r="P54" s="362"/>
      <c r="Q54" s="362"/>
      <c r="R54" s="362"/>
      <c r="S54" s="362">
        <f>S4+S9-S53</f>
        <v>0</v>
      </c>
      <c r="T54" s="453">
        <f>T4+T9-T53</f>
        <v>78.350515463917532</v>
      </c>
      <c r="U54" s="420">
        <f>U4-U53</f>
        <v>-31199.999070962018</v>
      </c>
    </row>
    <row r="55" spans="1:22" s="455" customFormat="1" hidden="1" outlineLevel="1" x14ac:dyDescent="0.2">
      <c r="A55" s="454"/>
      <c r="B55" s="451" t="s">
        <v>307</v>
      </c>
      <c r="C55" s="451"/>
      <c r="D55" s="451"/>
      <c r="E55" s="451"/>
      <c r="F55" s="451"/>
      <c r="G55" s="451">
        <v>0.9</v>
      </c>
      <c r="H55" s="451"/>
      <c r="I55" s="451"/>
      <c r="J55" s="451"/>
      <c r="K55" s="451"/>
      <c r="L55" s="451"/>
      <c r="M55" s="451">
        <f>1-G55</f>
        <v>9.9999999999999978E-2</v>
      </c>
      <c r="N55" s="451"/>
      <c r="O55" s="451"/>
      <c r="P55" s="451"/>
      <c r="Q55" s="451"/>
      <c r="R55" s="451"/>
      <c r="S55" s="451"/>
      <c r="T55" s="451"/>
      <c r="U55" s="458"/>
    </row>
    <row r="56" spans="1:22" s="455" customFormat="1" hidden="1" outlineLevel="1" x14ac:dyDescent="0.2">
      <c r="A56" s="454"/>
      <c r="B56" s="451"/>
      <c r="C56" s="451"/>
      <c r="D56" s="451"/>
      <c r="E56" s="451"/>
      <c r="F56" s="451"/>
      <c r="G56" s="451">
        <f>G5/$U5</f>
        <v>0.99537728304433648</v>
      </c>
      <c r="H56" s="451"/>
      <c r="I56" s="451"/>
      <c r="J56" s="451"/>
      <c r="K56" s="451"/>
      <c r="L56" s="451"/>
      <c r="M56" s="456">
        <f>M5/$U5</f>
        <v>4.6227169556635221E-3</v>
      </c>
      <c r="N56" s="451"/>
      <c r="O56" s="451"/>
      <c r="P56" s="451"/>
      <c r="Q56" s="451"/>
      <c r="R56" s="451"/>
      <c r="S56" s="451">
        <f>S5/$U5</f>
        <v>0</v>
      </c>
      <c r="T56" s="451"/>
      <c r="U56" s="458">
        <f>U5/$U5</f>
        <v>1</v>
      </c>
    </row>
    <row r="57" spans="1:22" s="353" customFormat="1" collapsed="1" x14ac:dyDescent="0.2">
      <c r="A57" s="386" t="s">
        <v>323</v>
      </c>
      <c r="B57" s="387"/>
      <c r="C57" s="388"/>
      <c r="D57" s="388"/>
      <c r="E57" s="388"/>
      <c r="F57" s="387"/>
      <c r="G57" s="389"/>
      <c r="H57" s="390"/>
      <c r="I57" s="388"/>
      <c r="J57" s="388"/>
      <c r="K57" s="388"/>
      <c r="L57" s="387"/>
      <c r="M57" s="389"/>
      <c r="N57" s="390"/>
      <c r="O57" s="388"/>
      <c r="P57" s="388"/>
      <c r="Q57" s="388"/>
      <c r="R57" s="387"/>
      <c r="S57" s="389"/>
      <c r="T57" s="390"/>
      <c r="U57" s="445"/>
      <c r="V57" s="368"/>
    </row>
    <row r="58" spans="1:22" x14ac:dyDescent="0.2">
      <c r="A58" s="359"/>
      <c r="B58" s="411" t="s">
        <v>324</v>
      </c>
      <c r="C58" s="418">
        <f>705.412088/12*G56</f>
        <v>58.512597298339372</v>
      </c>
      <c r="D58" s="362">
        <v>2994.3</v>
      </c>
      <c r="E58" s="374"/>
      <c r="F58" s="360"/>
      <c r="G58" s="370">
        <f>C58*D58</f>
        <v>175204.27009041759</v>
      </c>
      <c r="H58" s="365">
        <f t="shared" ref="H58:H64" si="14">G58/C$5</f>
        <v>4.0684058389121827</v>
      </c>
      <c r="I58" s="418">
        <f>705.412088/12*M56</f>
        <v>0.27174336832730073</v>
      </c>
      <c r="J58" s="362">
        <f>D58</f>
        <v>2994.3</v>
      </c>
      <c r="K58" s="413"/>
      <c r="L58" s="411"/>
      <c r="M58" s="370">
        <f>I58*J58</f>
        <v>813.68116778243666</v>
      </c>
      <c r="N58" s="365">
        <f t="shared" ref="N58:N64" si="15">M58/I$5</f>
        <v>4.0684058389121835</v>
      </c>
      <c r="O58" s="418">
        <f>746.204/12*S56</f>
        <v>0</v>
      </c>
      <c r="P58" s="362">
        <f>D58</f>
        <v>2994.3</v>
      </c>
      <c r="Q58" s="413"/>
      <c r="R58" s="411"/>
      <c r="S58" s="370">
        <f>O58*P58</f>
        <v>0</v>
      </c>
      <c r="T58" s="365"/>
      <c r="U58" s="367">
        <f t="shared" ref="U58:U64" si="16">G58+M58+S58</f>
        <v>176017.95125820002</v>
      </c>
      <c r="V58" s="368" t="e">
        <f>#REF!-#REF!-#REF!-#REF!</f>
        <v>#REF!</v>
      </c>
    </row>
    <row r="59" spans="1:22" x14ac:dyDescent="0.2">
      <c r="A59" s="359"/>
      <c r="B59" s="360" t="s">
        <v>325</v>
      </c>
      <c r="C59" s="374">
        <f>штат!B47</f>
        <v>0</v>
      </c>
      <c r="D59" s="366">
        <f>штат!C47</f>
        <v>0</v>
      </c>
      <c r="E59" s="366"/>
      <c r="F59" s="364"/>
      <c r="G59" s="362">
        <f>13892/2*G56</f>
        <v>6913.8906080259612</v>
      </c>
      <c r="H59" s="365">
        <f t="shared" si="14"/>
        <v>0.16054695987019413</v>
      </c>
      <c r="I59" s="374">
        <f t="shared" ref="I59:K61" si="17">C59</f>
        <v>0</v>
      </c>
      <c r="J59" s="366">
        <f t="shared" si="17"/>
        <v>0</v>
      </c>
      <c r="K59" s="366">
        <f t="shared" si="17"/>
        <v>0</v>
      </c>
      <c r="L59" s="411"/>
      <c r="M59" s="362">
        <f>13892/2*M56</f>
        <v>32.109391974038822</v>
      </c>
      <c r="N59" s="365">
        <f t="shared" si="15"/>
        <v>0.1605469598701941</v>
      </c>
      <c r="O59" s="374">
        <f t="shared" ref="O59:Q60" si="18">I59</f>
        <v>0</v>
      </c>
      <c r="P59" s="366">
        <f t="shared" si="18"/>
        <v>0</v>
      </c>
      <c r="Q59" s="366">
        <f t="shared" si="18"/>
        <v>0</v>
      </c>
      <c r="R59" s="411"/>
      <c r="S59" s="362">
        <f>13892/2*S56</f>
        <v>0</v>
      </c>
      <c r="T59" s="365"/>
      <c r="U59" s="420">
        <f t="shared" si="16"/>
        <v>6946</v>
      </c>
      <c r="V59" s="368" t="e">
        <f>#REF!-#REF!-#REF!-#REF!</f>
        <v>#REF!</v>
      </c>
    </row>
    <row r="60" spans="1:22" x14ac:dyDescent="0.2">
      <c r="A60" s="359"/>
      <c r="B60" s="360" t="s">
        <v>326</v>
      </c>
      <c r="C60" s="374">
        <f>штат!B48</f>
        <v>0</v>
      </c>
      <c r="D60" s="366">
        <f>штат!C48</f>
        <v>0</v>
      </c>
      <c r="E60" s="366"/>
      <c r="F60" s="364"/>
      <c r="G60" s="48">
        <f>974.8*G56</f>
        <v>970.29377551161917</v>
      </c>
      <c r="H60" s="36">
        <f t="shared" si="14"/>
        <v>2.2531122441904004E-2</v>
      </c>
      <c r="I60" s="46">
        <f>C60</f>
        <v>0</v>
      </c>
      <c r="J60" s="491">
        <f>D60</f>
        <v>0</v>
      </c>
      <c r="K60" s="491">
        <f>E60</f>
        <v>0</v>
      </c>
      <c r="L60" s="57"/>
      <c r="M60" s="48">
        <f>974.8*M56</f>
        <v>4.5062244883808011</v>
      </c>
      <c r="N60" s="365">
        <f t="shared" si="15"/>
        <v>2.2531122441904007E-2</v>
      </c>
      <c r="O60" s="374">
        <f t="shared" si="18"/>
        <v>0</v>
      </c>
      <c r="P60" s="366">
        <f t="shared" si="18"/>
        <v>0</v>
      </c>
      <c r="Q60" s="366">
        <f t="shared" si="18"/>
        <v>0</v>
      </c>
      <c r="R60" s="411"/>
      <c r="S60" s="362">
        <f>40000/12*S56</f>
        <v>0</v>
      </c>
      <c r="T60" s="365"/>
      <c r="U60" s="420">
        <f t="shared" si="16"/>
        <v>974.8</v>
      </c>
      <c r="V60" s="368" t="e">
        <f>#REF!-#REF!-#REF!-#REF!</f>
        <v>#REF!</v>
      </c>
    </row>
    <row r="61" spans="1:22" x14ac:dyDescent="0.2">
      <c r="A61" s="359"/>
      <c r="B61" s="360" t="s">
        <v>327</v>
      </c>
      <c r="C61" s="374">
        <f>штат!B49</f>
        <v>0</v>
      </c>
      <c r="D61" s="366">
        <f>штат!C49</f>
        <v>0</v>
      </c>
      <c r="E61" s="366"/>
      <c r="F61" s="364"/>
      <c r="G61" s="362">
        <f>6000*2/12*G56</f>
        <v>995.37728304433654</v>
      </c>
      <c r="H61" s="365">
        <f t="shared" si="14"/>
        <v>2.3113584778317611E-2</v>
      </c>
      <c r="I61" s="374">
        <f t="shared" si="17"/>
        <v>0</v>
      </c>
      <c r="J61" s="366">
        <f t="shared" si="17"/>
        <v>0</v>
      </c>
      <c r="K61" s="366">
        <f t="shared" si="17"/>
        <v>0</v>
      </c>
      <c r="L61" s="411"/>
      <c r="M61" s="362">
        <f>6000*2/12*M56</f>
        <v>4.6227169556635221</v>
      </c>
      <c r="N61" s="365">
        <f t="shared" si="15"/>
        <v>2.3113584778317611E-2</v>
      </c>
      <c r="O61" s="374"/>
      <c r="P61" s="366"/>
      <c r="Q61" s="366"/>
      <c r="R61" s="411"/>
      <c r="S61" s="362">
        <f>6000*2/12*S56</f>
        <v>0</v>
      </c>
      <c r="T61" s="365"/>
      <c r="U61" s="420">
        <f t="shared" si="16"/>
        <v>1000.0000000000001</v>
      </c>
      <c r="V61" s="368" t="e">
        <f>#REF!-#REF!-#REF!-#REF!</f>
        <v>#REF!</v>
      </c>
    </row>
    <row r="62" spans="1:22" x14ac:dyDescent="0.2">
      <c r="A62" s="416"/>
      <c r="B62" s="426" t="s">
        <v>328</v>
      </c>
      <c r="C62" s="374"/>
      <c r="D62" s="374"/>
      <c r="E62" s="374"/>
      <c r="F62" s="364"/>
      <c r="G62" s="362">
        <f>8000*G56</f>
        <v>7963.0182643546923</v>
      </c>
      <c r="H62" s="365">
        <f t="shared" si="14"/>
        <v>0.18490867822654089</v>
      </c>
      <c r="I62" s="374"/>
      <c r="J62" s="374"/>
      <c r="K62" s="374"/>
      <c r="L62" s="411"/>
      <c r="M62" s="362">
        <f>8000*M56</f>
        <v>36.981735645308177</v>
      </c>
      <c r="N62" s="365">
        <f t="shared" si="15"/>
        <v>0.18490867822654089</v>
      </c>
      <c r="O62" s="374"/>
      <c r="P62" s="366"/>
      <c r="Q62" s="366"/>
      <c r="R62" s="411"/>
      <c r="S62" s="362">
        <f>8000*S56</f>
        <v>0</v>
      </c>
      <c r="T62" s="365"/>
      <c r="U62" s="420">
        <f t="shared" si="16"/>
        <v>8000.0000000000009</v>
      </c>
    </row>
    <row r="63" spans="1:22" x14ac:dyDescent="0.2">
      <c r="A63" s="359"/>
      <c r="B63" s="360" t="s">
        <v>268</v>
      </c>
      <c r="C63" s="374"/>
      <c r="D63" s="374"/>
      <c r="E63" s="374"/>
      <c r="F63" s="360"/>
      <c r="G63" s="362">
        <f>(12800+13424.92+800*4)/12*G56</f>
        <v>2440.7414102830794</v>
      </c>
      <c r="H63" s="365">
        <f t="shared" si="14"/>
        <v>5.6676281917934439E-2</v>
      </c>
      <c r="I63" s="374"/>
      <c r="J63" s="374"/>
      <c r="K63" s="374"/>
      <c r="L63" s="411"/>
      <c r="M63" s="362">
        <f>(12800+13424.92+800*4)/12*M56</f>
        <v>11.33525638358689</v>
      </c>
      <c r="N63" s="365">
        <f t="shared" si="15"/>
        <v>5.6676281917934446E-2</v>
      </c>
      <c r="O63" s="374"/>
      <c r="P63" s="366"/>
      <c r="Q63" s="366"/>
      <c r="R63" s="411"/>
      <c r="S63" s="362">
        <f>(12800+13424.92+800*4)/12*S56</f>
        <v>0</v>
      </c>
      <c r="T63" s="365"/>
      <c r="U63" s="420">
        <f t="shared" si="16"/>
        <v>2452.0766666666664</v>
      </c>
      <c r="V63" s="368" t="e">
        <f>#REF!-#REF!-#REF!-#REF!</f>
        <v>#REF!</v>
      </c>
    </row>
    <row r="64" spans="1:22" x14ac:dyDescent="0.2">
      <c r="A64" s="359"/>
      <c r="B64" s="360" t="s">
        <v>334</v>
      </c>
      <c r="C64" s="412">
        <f>11250*G56</f>
        <v>11197.994434248785</v>
      </c>
      <c r="D64" s="371">
        <v>0.63</v>
      </c>
      <c r="E64" s="374"/>
      <c r="F64" s="360"/>
      <c r="G64" s="370">
        <f>C64*D64</f>
        <v>7054.7364935767346</v>
      </c>
      <c r="H64" s="365">
        <f t="shared" si="14"/>
        <v>0.16381753211632605</v>
      </c>
      <c r="I64" s="412">
        <f>11250*M56</f>
        <v>52.005565751214625</v>
      </c>
      <c r="J64" s="371">
        <f>D64</f>
        <v>0.63</v>
      </c>
      <c r="K64" s="374"/>
      <c r="L64" s="411"/>
      <c r="M64" s="370">
        <f>I64*J64</f>
        <v>32.763506423265213</v>
      </c>
      <c r="N64" s="365">
        <f t="shared" si="15"/>
        <v>0.16381753211632608</v>
      </c>
      <c r="O64" s="412">
        <f>11250*S56</f>
        <v>0</v>
      </c>
      <c r="P64" s="371">
        <f>D64</f>
        <v>0.63</v>
      </c>
      <c r="Q64" s="366"/>
      <c r="R64" s="411"/>
      <c r="S64" s="370">
        <f>O64*P64</f>
        <v>0</v>
      </c>
      <c r="T64" s="365"/>
      <c r="U64" s="420">
        <f t="shared" si="16"/>
        <v>7087.5</v>
      </c>
      <c r="V64" s="368" t="e">
        <f>#REF!-#REF!-#REF!-#REF!</f>
        <v>#REF!</v>
      </c>
    </row>
    <row r="65" spans="1:22" s="353" customFormat="1" x14ac:dyDescent="0.2">
      <c r="A65" s="375"/>
      <c r="B65" s="376" t="s">
        <v>333</v>
      </c>
      <c r="C65" s="377"/>
      <c r="D65" s="377"/>
      <c r="E65" s="377"/>
      <c r="F65" s="376"/>
      <c r="G65" s="378">
        <f>SUM(G58:G64)</f>
        <v>201542.32792521399</v>
      </c>
      <c r="H65" s="380">
        <f>SUM(H58:H64)</f>
        <v>4.6799999982633995</v>
      </c>
      <c r="I65" s="377"/>
      <c r="J65" s="377"/>
      <c r="K65" s="377"/>
      <c r="L65" s="376"/>
      <c r="M65" s="378">
        <f>SUM(M58:M64)</f>
        <v>935.99999965268</v>
      </c>
      <c r="N65" s="380">
        <f>SUM(N58:N64)</f>
        <v>4.6799999982634004</v>
      </c>
      <c r="O65" s="377"/>
      <c r="P65" s="377"/>
      <c r="Q65" s="377"/>
      <c r="R65" s="376"/>
      <c r="S65" s="378">
        <f>SUM(S58:S64)</f>
        <v>0</v>
      </c>
      <c r="T65" s="380">
        <f>SUM(T58:T64)</f>
        <v>0</v>
      </c>
      <c r="U65" s="443">
        <f>SUM(U58:U64)</f>
        <v>202478.32792486667</v>
      </c>
      <c r="V65" s="368" t="e">
        <f>#REF!-#REF!-#REF!-#REF!</f>
        <v>#REF!</v>
      </c>
    </row>
    <row r="66" spans="1:22" s="353" customFormat="1" x14ac:dyDescent="0.2">
      <c r="A66" s="386" t="s">
        <v>351</v>
      </c>
      <c r="B66" s="387"/>
      <c r="C66" s="388"/>
      <c r="D66" s="388"/>
      <c r="E66" s="388"/>
      <c r="F66" s="387"/>
      <c r="G66" s="389"/>
      <c r="H66" s="390"/>
      <c r="I66" s="388"/>
      <c r="J66" s="388"/>
      <c r="K66" s="388"/>
      <c r="L66" s="387"/>
      <c r="M66" s="389"/>
      <c r="N66" s="390"/>
      <c r="O66" s="388"/>
      <c r="P66" s="388"/>
      <c r="Q66" s="388"/>
      <c r="R66" s="387"/>
      <c r="S66" s="389"/>
      <c r="T66" s="390"/>
      <c r="U66" s="445"/>
      <c r="V66" s="368"/>
    </row>
    <row r="67" spans="1:22" x14ac:dyDescent="0.2">
      <c r="A67" s="416"/>
      <c r="B67" s="360" t="s">
        <v>316</v>
      </c>
      <c r="C67" s="366">
        <f>C6</f>
        <v>200000</v>
      </c>
      <c r="D67" s="371">
        <v>0.63</v>
      </c>
      <c r="E67" s="366"/>
      <c r="F67" s="364"/>
      <c r="G67" s="370">
        <f>C67*D67</f>
        <v>126000</v>
      </c>
      <c r="H67" s="365">
        <f>G67/C67</f>
        <v>0.63</v>
      </c>
      <c r="I67" s="366">
        <v>15000</v>
      </c>
      <c r="J67" s="371">
        <f>D75</f>
        <v>1.68</v>
      </c>
      <c r="K67" s="372"/>
      <c r="L67" s="373"/>
      <c r="M67" s="362">
        <f>I67*J67</f>
        <v>25200</v>
      </c>
      <c r="N67" s="427">
        <f>M67/I67</f>
        <v>1.68</v>
      </c>
      <c r="O67" s="374"/>
      <c r="P67" s="366"/>
      <c r="Q67" s="366"/>
      <c r="R67" s="364"/>
      <c r="S67" s="362"/>
      <c r="T67" s="367">
        <f>S67/O$4</f>
        <v>0</v>
      </c>
      <c r="U67" s="420">
        <f>G67+M67+S67</f>
        <v>151200</v>
      </c>
    </row>
    <row r="68" spans="1:22" s="353" customFormat="1" x14ac:dyDescent="0.2">
      <c r="A68" s="375"/>
      <c r="B68" s="376" t="s">
        <v>352</v>
      </c>
      <c r="C68" s="377"/>
      <c r="D68" s="377"/>
      <c r="E68" s="377"/>
      <c r="F68" s="376"/>
      <c r="G68" s="378">
        <f>SUM(G67)</f>
        <v>126000</v>
      </c>
      <c r="H68" s="380">
        <f>SUM(H67)</f>
        <v>0.63</v>
      </c>
      <c r="I68" s="377"/>
      <c r="J68" s="377"/>
      <c r="K68" s="377"/>
      <c r="L68" s="376"/>
      <c r="M68" s="378">
        <f>SUM(M67)</f>
        <v>25200</v>
      </c>
      <c r="N68" s="428">
        <f>SUM(N67)</f>
        <v>1.68</v>
      </c>
      <c r="O68" s="377"/>
      <c r="P68" s="377"/>
      <c r="Q68" s="377"/>
      <c r="R68" s="376"/>
      <c r="S68" s="378">
        <f>SUM(S67)</f>
        <v>0</v>
      </c>
      <c r="T68" s="380">
        <f>SUM(T67)</f>
        <v>0</v>
      </c>
      <c r="U68" s="443">
        <f>SUM(U67)</f>
        <v>151200</v>
      </c>
      <c r="V68" s="368" t="e">
        <f>#REF!-#REF!-#REF!-#REF!</f>
        <v>#REF!</v>
      </c>
    </row>
    <row r="69" spans="1:22" s="353" customFormat="1" x14ac:dyDescent="0.2">
      <c r="A69" s="386" t="s">
        <v>354</v>
      </c>
      <c r="B69" s="387"/>
      <c r="C69" s="388"/>
      <c r="D69" s="388"/>
      <c r="E69" s="388"/>
      <c r="F69" s="387"/>
      <c r="G69" s="389"/>
      <c r="H69" s="390"/>
      <c r="I69" s="388"/>
      <c r="J69" s="388"/>
      <c r="K69" s="388"/>
      <c r="L69" s="387"/>
      <c r="M69" s="389"/>
      <c r="N69" s="390"/>
      <c r="O69" s="388"/>
      <c r="P69" s="388"/>
      <c r="Q69" s="388"/>
      <c r="R69" s="387"/>
      <c r="S69" s="389"/>
      <c r="T69" s="390"/>
      <c r="U69" s="445"/>
      <c r="V69" s="368"/>
    </row>
    <row r="70" spans="1:22" x14ac:dyDescent="0.2">
      <c r="A70" s="359"/>
      <c r="B70" s="360" t="s">
        <v>366</v>
      </c>
      <c r="C70" s="366">
        <f>C7</f>
        <v>5700</v>
      </c>
      <c r="D70" s="429">
        <v>3.5760000000000001</v>
      </c>
      <c r="E70" s="366"/>
      <c r="F70" s="364"/>
      <c r="G70" s="370">
        <f>C70*D70</f>
        <v>20383.2</v>
      </c>
      <c r="H70" s="365">
        <f>G70/C$70</f>
        <v>3.5760000000000001</v>
      </c>
      <c r="I70" s="366">
        <f>I7</f>
        <v>10</v>
      </c>
      <c r="J70" s="418">
        <f>D70</f>
        <v>3.5760000000000001</v>
      </c>
      <c r="K70" s="366"/>
      <c r="L70" s="364"/>
      <c r="M70" s="370">
        <f>I70*J70</f>
        <v>35.76</v>
      </c>
      <c r="N70" s="365">
        <f>M70/I$70</f>
        <v>3.5759999999999996</v>
      </c>
      <c r="O70" s="374"/>
      <c r="P70" s="366"/>
      <c r="Q70" s="366"/>
      <c r="R70" s="364"/>
      <c r="S70" s="362"/>
      <c r="T70" s="367">
        <f>S70/O$4</f>
        <v>0</v>
      </c>
      <c r="U70" s="420">
        <f t="shared" ref="U70:U76" si="19">G70+M70+S70</f>
        <v>20418.96</v>
      </c>
      <c r="V70" s="368"/>
    </row>
    <row r="71" spans="1:22" x14ac:dyDescent="0.2">
      <c r="A71" s="359"/>
      <c r="B71" s="360" t="s">
        <v>330</v>
      </c>
      <c r="C71" s="366"/>
      <c r="D71" s="362"/>
      <c r="E71" s="366"/>
      <c r="F71" s="364"/>
      <c r="G71" s="362">
        <f>500*10*C7/($C$7+$C$9+$I$7+$I$9)</f>
        <v>4991.2434325744307</v>
      </c>
      <c r="H71" s="365">
        <f t="shared" ref="H71:H76" si="20">G71/C$70</f>
        <v>0.87565674255691761</v>
      </c>
      <c r="I71" s="366"/>
      <c r="J71" s="362"/>
      <c r="K71" s="366"/>
      <c r="L71" s="364"/>
      <c r="M71" s="362">
        <f>500*10*I7/($C$7+$C$9+$I$7+$I$9)</f>
        <v>8.7565674255691768</v>
      </c>
      <c r="N71" s="365">
        <f t="shared" ref="N71:N76" si="21">M71/I$70</f>
        <v>0.87565674255691772</v>
      </c>
      <c r="O71" s="374"/>
      <c r="P71" s="366"/>
      <c r="Q71" s="366"/>
      <c r="R71" s="364"/>
      <c r="S71" s="362"/>
      <c r="T71" s="367"/>
      <c r="U71" s="420">
        <f t="shared" si="19"/>
        <v>5000</v>
      </c>
      <c r="V71" s="368"/>
    </row>
    <row r="72" spans="1:22" x14ac:dyDescent="0.2">
      <c r="A72" s="359"/>
      <c r="B72" s="360" t="s">
        <v>335</v>
      </c>
      <c r="C72" s="366"/>
      <c r="D72" s="362"/>
      <c r="E72" s="366"/>
      <c r="F72" s="364"/>
      <c r="G72" s="362">
        <f>(1500+500)*6/12*C7/($C$7+$C$9+$I$7+$I$9)</f>
        <v>998.24868651488612</v>
      </c>
      <c r="H72" s="365">
        <f t="shared" si="20"/>
        <v>0.17513134851138354</v>
      </c>
      <c r="I72" s="366"/>
      <c r="J72" s="362"/>
      <c r="K72" s="366"/>
      <c r="L72" s="364"/>
      <c r="M72" s="362">
        <f>(1500+500)*6/12*I7/($C$7+$C$9+$I$7+$I$9)</f>
        <v>1.7513134851138354</v>
      </c>
      <c r="N72" s="365">
        <f t="shared" si="21"/>
        <v>0.17513134851138354</v>
      </c>
      <c r="O72" s="374"/>
      <c r="P72" s="366"/>
      <c r="Q72" s="366"/>
      <c r="R72" s="364"/>
      <c r="S72" s="362"/>
      <c r="T72" s="367"/>
      <c r="U72" s="420">
        <f t="shared" si="19"/>
        <v>1000</v>
      </c>
      <c r="V72" s="368"/>
    </row>
    <row r="73" spans="1:22" x14ac:dyDescent="0.2">
      <c r="A73" s="359"/>
      <c r="B73" s="360" t="s">
        <v>331</v>
      </c>
      <c r="C73" s="366"/>
      <c r="D73" s="362"/>
      <c r="E73" s="366"/>
      <c r="F73" s="364"/>
      <c r="G73" s="362">
        <f>1600*C7/($C$7+$C$9+$I$7+$I$9)</f>
        <v>1597.1978984238178</v>
      </c>
      <c r="H73" s="365">
        <f t="shared" si="20"/>
        <v>0.28021015761821366</v>
      </c>
      <c r="I73" s="366"/>
      <c r="J73" s="362"/>
      <c r="K73" s="366"/>
      <c r="L73" s="364"/>
      <c r="M73" s="362">
        <f>1600*I7/($C$7+$C$9+$I$7+$I$9)</f>
        <v>2.8021015761821366</v>
      </c>
      <c r="N73" s="365">
        <f t="shared" si="21"/>
        <v>0.28021015761821366</v>
      </c>
      <c r="O73" s="374"/>
      <c r="P73" s="366"/>
      <c r="Q73" s="366"/>
      <c r="R73" s="364"/>
      <c r="S73" s="362"/>
      <c r="T73" s="367"/>
      <c r="U73" s="420">
        <f t="shared" si="19"/>
        <v>1600</v>
      </c>
      <c r="V73" s="368"/>
    </row>
    <row r="74" spans="1:22" x14ac:dyDescent="0.2">
      <c r="A74" s="359"/>
      <c r="B74" s="360" t="s">
        <v>334</v>
      </c>
      <c r="C74" s="412">
        <f>9000*C7/($C$7+$C$9+$I$7+$I$9)</f>
        <v>8984.2381786339756</v>
      </c>
      <c r="D74" s="371">
        <v>0.63</v>
      </c>
      <c r="E74" s="374"/>
      <c r="F74" s="360"/>
      <c r="G74" s="370">
        <f>C74*D74</f>
        <v>5660.070052539405</v>
      </c>
      <c r="H74" s="365">
        <f t="shared" si="20"/>
        <v>0.99299474605954474</v>
      </c>
      <c r="I74" s="412">
        <f>9000*I7/($C$7+$C$9+$I$7+$I$9)</f>
        <v>15.761821366024519</v>
      </c>
      <c r="J74" s="371">
        <f>D74</f>
        <v>0.63</v>
      </c>
      <c r="K74" s="374"/>
      <c r="L74" s="411"/>
      <c r="M74" s="370">
        <f>I74*J74</f>
        <v>9.9299474605954465</v>
      </c>
      <c r="N74" s="365">
        <f t="shared" si="21"/>
        <v>0.99299474605954463</v>
      </c>
      <c r="O74" s="412"/>
      <c r="P74" s="371"/>
      <c r="Q74" s="366"/>
      <c r="R74" s="411"/>
      <c r="S74" s="370">
        <f>O74*P74</f>
        <v>0</v>
      </c>
      <c r="T74" s="365"/>
      <c r="U74" s="420">
        <f t="shared" si="19"/>
        <v>5670</v>
      </c>
      <c r="V74" s="368" t="e">
        <f>#REF!-#REF!-#REF!-#REF!</f>
        <v>#REF!</v>
      </c>
    </row>
    <row r="75" spans="1:22" x14ac:dyDescent="0.2">
      <c r="A75" s="359"/>
      <c r="B75" s="360" t="s">
        <v>358</v>
      </c>
      <c r="C75" s="412">
        <f>1000*C7/($C$7+$C$9+$I$7+$I$9)</f>
        <v>998.24868651488612</v>
      </c>
      <c r="D75" s="371">
        <v>1.68</v>
      </c>
      <c r="E75" s="374"/>
      <c r="F75" s="360"/>
      <c r="G75" s="370">
        <f>C75*D75</f>
        <v>1677.0577933450086</v>
      </c>
      <c r="H75" s="365">
        <f t="shared" si="20"/>
        <v>0.29422066549912429</v>
      </c>
      <c r="I75" s="412">
        <f>1000*I7/($C$7+$C$9+$I$7+$I$9)</f>
        <v>1.7513134851138354</v>
      </c>
      <c r="J75" s="371">
        <f>D75</f>
        <v>1.68</v>
      </c>
      <c r="K75" s="374"/>
      <c r="L75" s="411"/>
      <c r="M75" s="370">
        <f>I75*J75</f>
        <v>2.9422066549912436</v>
      </c>
      <c r="N75" s="365">
        <f t="shared" si="21"/>
        <v>0.29422066549912435</v>
      </c>
      <c r="O75" s="412"/>
      <c r="P75" s="371"/>
      <c r="Q75" s="366"/>
      <c r="R75" s="411"/>
      <c r="S75" s="370">
        <f>O75*P75</f>
        <v>0</v>
      </c>
      <c r="T75" s="365"/>
      <c r="U75" s="420">
        <f t="shared" si="19"/>
        <v>1679.9999999999998</v>
      </c>
      <c r="V75" s="368" t="e">
        <f>#REF!-#REF!-#REF!-#REF!</f>
        <v>#REF!</v>
      </c>
    </row>
    <row r="76" spans="1:22" x14ac:dyDescent="0.2">
      <c r="A76" s="359"/>
      <c r="B76" s="360" t="s">
        <v>350</v>
      </c>
      <c r="C76" s="366"/>
      <c r="D76" s="362"/>
      <c r="E76" s="366"/>
      <c r="F76" s="364"/>
      <c r="G76" s="362">
        <f>G7-SUM(G70:G75)</f>
        <v>7214.982136602448</v>
      </c>
      <c r="H76" s="365">
        <f t="shared" si="20"/>
        <v>1.2657863397548155</v>
      </c>
      <c r="I76" s="366"/>
      <c r="J76" s="362"/>
      <c r="K76" s="366"/>
      <c r="L76" s="364"/>
      <c r="M76" s="362">
        <f>M7-SUM(M70:M75)</f>
        <v>12.657863397548148</v>
      </c>
      <c r="N76" s="365">
        <f t="shared" si="21"/>
        <v>1.2657863397548148</v>
      </c>
      <c r="O76" s="374"/>
      <c r="P76" s="366"/>
      <c r="Q76" s="366"/>
      <c r="R76" s="364"/>
      <c r="S76" s="362"/>
      <c r="T76" s="367"/>
      <c r="U76" s="420">
        <f t="shared" si="19"/>
        <v>7227.6399999999958</v>
      </c>
      <c r="V76" s="368"/>
    </row>
    <row r="77" spans="1:22" s="353" customFormat="1" x14ac:dyDescent="0.2">
      <c r="A77" s="375"/>
      <c r="B77" s="376" t="s">
        <v>355</v>
      </c>
      <c r="C77" s="377"/>
      <c r="D77" s="377"/>
      <c r="E77" s="377"/>
      <c r="F77" s="376"/>
      <c r="G77" s="378">
        <f>SUM(G70:G76)</f>
        <v>42522</v>
      </c>
      <c r="H77" s="380">
        <f>SUM(H70:H76)</f>
        <v>7.4600000000000009</v>
      </c>
      <c r="I77" s="377"/>
      <c r="J77" s="377"/>
      <c r="K77" s="377"/>
      <c r="L77" s="376"/>
      <c r="M77" s="378">
        <f>SUM(M70:M76)</f>
        <v>74.599999999999994</v>
      </c>
      <c r="N77" s="380">
        <f>SUM(N70:N76)</f>
        <v>7.4599999999999982</v>
      </c>
      <c r="O77" s="377"/>
      <c r="P77" s="377"/>
      <c r="Q77" s="377"/>
      <c r="R77" s="376"/>
      <c r="S77" s="378">
        <f>SUM(S70:S75)</f>
        <v>0</v>
      </c>
      <c r="T77" s="380">
        <f>SUM(T70:T75)</f>
        <v>0</v>
      </c>
      <c r="U77" s="443">
        <f>SUM(U70:U76)</f>
        <v>42596.599999999991</v>
      </c>
      <c r="V77" s="368" t="e">
        <f>#REF!-#REF!-#REF!-#REF!</f>
        <v>#REF!</v>
      </c>
    </row>
    <row r="78" spans="1:22" s="353" customFormat="1" x14ac:dyDescent="0.2">
      <c r="A78" s="386" t="s">
        <v>356</v>
      </c>
      <c r="B78" s="387"/>
      <c r="C78" s="388"/>
      <c r="D78" s="388"/>
      <c r="E78" s="388"/>
      <c r="F78" s="387"/>
      <c r="G78" s="389"/>
      <c r="H78" s="390"/>
      <c r="I78" s="388"/>
      <c r="J78" s="388"/>
      <c r="K78" s="388"/>
      <c r="L78" s="387"/>
      <c r="M78" s="389"/>
      <c r="N78" s="390"/>
      <c r="O78" s="388"/>
      <c r="P78" s="388"/>
      <c r="Q78" s="388"/>
      <c r="R78" s="387"/>
      <c r="S78" s="389"/>
      <c r="T78" s="390"/>
      <c r="U78" s="445"/>
      <c r="V78" s="368"/>
    </row>
    <row r="79" spans="1:22" x14ac:dyDescent="0.2">
      <c r="A79" s="359"/>
      <c r="B79" s="360" t="s">
        <v>390</v>
      </c>
      <c r="C79" s="366">
        <f>C8</f>
        <v>300</v>
      </c>
      <c r="D79" s="429">
        <f>D7</f>
        <v>7.46</v>
      </c>
      <c r="E79" s="366"/>
      <c r="F79" s="364"/>
      <c r="G79" s="370">
        <f>C79*D79</f>
        <v>2238</v>
      </c>
      <c r="H79" s="365">
        <f t="shared" ref="H79:H86" si="22">G79/C$79</f>
        <v>7.46</v>
      </c>
      <c r="I79" s="366">
        <f>I8</f>
        <v>1</v>
      </c>
      <c r="J79" s="418">
        <f>D79</f>
        <v>7.46</v>
      </c>
      <c r="K79" s="366"/>
      <c r="L79" s="364"/>
      <c r="M79" s="370">
        <f>I79*J79</f>
        <v>7.46</v>
      </c>
      <c r="N79" s="365">
        <f t="shared" ref="N79:N86" si="23">M79/I$79</f>
        <v>7.46</v>
      </c>
      <c r="O79" s="374"/>
      <c r="P79" s="366"/>
      <c r="Q79" s="366"/>
      <c r="R79" s="364"/>
      <c r="S79" s="362"/>
      <c r="T79" s="367">
        <f>S79/O$4</f>
        <v>0</v>
      </c>
      <c r="U79" s="420">
        <f t="shared" ref="U79:U86" si="24">G79+M79+S79</f>
        <v>2245.46</v>
      </c>
      <c r="V79" s="368"/>
    </row>
    <row r="80" spans="1:22" hidden="1" outlineLevel="1" x14ac:dyDescent="0.2">
      <c r="A80" s="359"/>
      <c r="B80" s="360" t="s">
        <v>330</v>
      </c>
      <c r="C80" s="366"/>
      <c r="D80" s="362"/>
      <c r="E80" s="366"/>
      <c r="F80" s="364"/>
      <c r="G80" s="362">
        <f>500*10*C9/($C$7+$C$9+$I$7+$I$9)</f>
        <v>0</v>
      </c>
      <c r="H80" s="365">
        <f t="shared" si="22"/>
        <v>0</v>
      </c>
      <c r="I80" s="366"/>
      <c r="J80" s="362"/>
      <c r="K80" s="366"/>
      <c r="L80" s="364"/>
      <c r="M80" s="362">
        <f>500*10*I9/($C$7+$C$9+$I$7+$I$9)</f>
        <v>0</v>
      </c>
      <c r="N80" s="365">
        <f t="shared" si="23"/>
        <v>0</v>
      </c>
      <c r="O80" s="374"/>
      <c r="P80" s="366"/>
      <c r="Q80" s="366"/>
      <c r="R80" s="364"/>
      <c r="S80" s="362"/>
      <c r="T80" s="367">
        <f>S80/O$4</f>
        <v>0</v>
      </c>
      <c r="U80" s="420">
        <f t="shared" si="24"/>
        <v>0</v>
      </c>
      <c r="V80" s="368"/>
    </row>
    <row r="81" spans="1:22" hidden="1" outlineLevel="1" x14ac:dyDescent="0.2">
      <c r="A81" s="359"/>
      <c r="B81" s="360" t="s">
        <v>335</v>
      </c>
      <c r="C81" s="366"/>
      <c r="D81" s="362"/>
      <c r="E81" s="366"/>
      <c r="F81" s="364"/>
      <c r="G81" s="362">
        <f>(1500+500)*6/12*C9/($C$7+$C$9+$I$7+$I$9)</f>
        <v>0</v>
      </c>
      <c r="H81" s="365">
        <f t="shared" si="22"/>
        <v>0</v>
      </c>
      <c r="I81" s="366"/>
      <c r="J81" s="362"/>
      <c r="K81" s="366"/>
      <c r="L81" s="364"/>
      <c r="M81" s="362">
        <f>(1500+500)*6/12*I9/($C$7+$C$9+$I$7+$I$9)</f>
        <v>0</v>
      </c>
      <c r="N81" s="365">
        <f t="shared" si="23"/>
        <v>0</v>
      </c>
      <c r="O81" s="374"/>
      <c r="P81" s="366"/>
      <c r="Q81" s="366"/>
      <c r="R81" s="364"/>
      <c r="S81" s="362"/>
      <c r="T81" s="367"/>
      <c r="U81" s="420">
        <f t="shared" si="24"/>
        <v>0</v>
      </c>
      <c r="V81" s="368"/>
    </row>
    <row r="82" spans="1:22" hidden="1" outlineLevel="1" x14ac:dyDescent="0.2">
      <c r="A82" s="359"/>
      <c r="B82" s="360" t="s">
        <v>331</v>
      </c>
      <c r="C82" s="366"/>
      <c r="D82" s="362"/>
      <c r="E82" s="366"/>
      <c r="F82" s="364"/>
      <c r="G82" s="362">
        <f>1600*C9/($C$7+$C$9+$I$7+$I$9)</f>
        <v>0</v>
      </c>
      <c r="H82" s="365">
        <f t="shared" si="22"/>
        <v>0</v>
      </c>
      <c r="I82" s="366"/>
      <c r="J82" s="362"/>
      <c r="K82" s="366"/>
      <c r="L82" s="364"/>
      <c r="M82" s="362">
        <f>1600*I9/($C$7+$C$9+$I$7+$I$9)</f>
        <v>0</v>
      </c>
      <c r="N82" s="365">
        <f t="shared" si="23"/>
        <v>0</v>
      </c>
      <c r="O82" s="374"/>
      <c r="P82" s="366"/>
      <c r="Q82" s="366"/>
      <c r="R82" s="364"/>
      <c r="S82" s="362"/>
      <c r="T82" s="367"/>
      <c r="U82" s="420">
        <f t="shared" si="24"/>
        <v>0</v>
      </c>
      <c r="V82" s="368"/>
    </row>
    <row r="83" spans="1:22" hidden="1" outlineLevel="1" x14ac:dyDescent="0.2">
      <c r="A83" s="359"/>
      <c r="B83" s="360" t="s">
        <v>334</v>
      </c>
      <c r="C83" s="412">
        <f>9000*C9/($C$7+$C$9+$I$7+$I$9)</f>
        <v>0</v>
      </c>
      <c r="D83" s="371">
        <v>0.63</v>
      </c>
      <c r="E83" s="374"/>
      <c r="F83" s="360"/>
      <c r="G83" s="370">
        <f>C83*D83</f>
        <v>0</v>
      </c>
      <c r="H83" s="365">
        <f t="shared" si="22"/>
        <v>0</v>
      </c>
      <c r="I83" s="412">
        <f>9000*I9/($C$7+$C$9+$I$7+$I$9)</f>
        <v>0</v>
      </c>
      <c r="J83" s="371">
        <f>D83</f>
        <v>0.63</v>
      </c>
      <c r="K83" s="374"/>
      <c r="L83" s="360"/>
      <c r="M83" s="370">
        <f>I83*J83</f>
        <v>0</v>
      </c>
      <c r="N83" s="365">
        <f t="shared" si="23"/>
        <v>0</v>
      </c>
      <c r="O83" s="374"/>
      <c r="P83" s="366"/>
      <c r="Q83" s="366"/>
      <c r="R83" s="364"/>
      <c r="S83" s="362"/>
      <c r="T83" s="367"/>
      <c r="U83" s="420">
        <f t="shared" si="24"/>
        <v>0</v>
      </c>
      <c r="V83" s="368"/>
    </row>
    <row r="84" spans="1:22" hidden="1" outlineLevel="1" x14ac:dyDescent="0.2">
      <c r="A84" s="359"/>
      <c r="B84" s="360" t="s">
        <v>358</v>
      </c>
      <c r="C84" s="412">
        <f>1000*C9/($C$7+$C$9+$I$7+$I$9)</f>
        <v>0</v>
      </c>
      <c r="D84" s="371">
        <v>1.68</v>
      </c>
      <c r="E84" s="374"/>
      <c r="F84" s="360"/>
      <c r="G84" s="370">
        <f>C84*D84</f>
        <v>0</v>
      </c>
      <c r="H84" s="365">
        <f t="shared" si="22"/>
        <v>0</v>
      </c>
      <c r="I84" s="412">
        <f>1000*I9/($C$7+$C$9+$I$7+$I$9)</f>
        <v>0</v>
      </c>
      <c r="J84" s="371">
        <f>D84</f>
        <v>1.68</v>
      </c>
      <c r="K84" s="374"/>
      <c r="L84" s="360"/>
      <c r="M84" s="370">
        <f>I84*J84</f>
        <v>0</v>
      </c>
      <c r="N84" s="365">
        <f t="shared" si="23"/>
        <v>0</v>
      </c>
      <c r="O84" s="374"/>
      <c r="P84" s="366"/>
      <c r="Q84" s="366"/>
      <c r="R84" s="364"/>
      <c r="S84" s="362"/>
      <c r="T84" s="367"/>
      <c r="U84" s="420">
        <f t="shared" si="24"/>
        <v>0</v>
      </c>
      <c r="V84" s="368"/>
    </row>
    <row r="85" spans="1:22" collapsed="1" x14ac:dyDescent="0.2">
      <c r="A85" s="359"/>
      <c r="B85" s="360" t="s">
        <v>359</v>
      </c>
      <c r="C85" s="366"/>
      <c r="D85" s="362"/>
      <c r="E85" s="366"/>
      <c r="F85" s="364"/>
      <c r="G85" s="370">
        <f>$U$5*0.025*C79/($C$79+$I$79)</f>
        <v>5045.1410631229237</v>
      </c>
      <c r="H85" s="365">
        <f t="shared" si="22"/>
        <v>16.817136877076411</v>
      </c>
      <c r="I85" s="366"/>
      <c r="J85" s="362"/>
      <c r="K85" s="366"/>
      <c r="L85" s="364"/>
      <c r="M85" s="370">
        <f>$U$5*0.025*I79/($C$79+$I$79)</f>
        <v>16.817136877076411</v>
      </c>
      <c r="N85" s="365">
        <f t="shared" si="23"/>
        <v>16.817136877076411</v>
      </c>
      <c r="O85" s="374"/>
      <c r="P85" s="366"/>
      <c r="Q85" s="366"/>
      <c r="R85" s="364"/>
      <c r="S85" s="362"/>
      <c r="T85" s="367"/>
      <c r="U85" s="420">
        <f t="shared" si="24"/>
        <v>5061.9582</v>
      </c>
      <c r="V85" s="368"/>
    </row>
    <row r="86" spans="1:22" x14ac:dyDescent="0.2">
      <c r="A86" s="359"/>
      <c r="B86" s="360" t="s">
        <v>350</v>
      </c>
      <c r="C86" s="366"/>
      <c r="D86" s="362"/>
      <c r="E86" s="366"/>
      <c r="F86" s="364"/>
      <c r="G86" s="370">
        <f>G8-SUM(G79:G85)</f>
        <v>1641.8589368770763</v>
      </c>
      <c r="H86" s="365">
        <f t="shared" si="22"/>
        <v>5.472863122923588</v>
      </c>
      <c r="I86" s="366"/>
      <c r="J86" s="362"/>
      <c r="K86" s="366"/>
      <c r="L86" s="364"/>
      <c r="M86" s="370">
        <f>M8-SUM(M79:M85)</f>
        <v>5.472863122923588</v>
      </c>
      <c r="N86" s="365">
        <f t="shared" si="23"/>
        <v>5.472863122923588</v>
      </c>
      <c r="O86" s="374"/>
      <c r="P86" s="366"/>
      <c r="Q86" s="366"/>
      <c r="R86" s="364"/>
      <c r="S86" s="362"/>
      <c r="T86" s="367"/>
      <c r="U86" s="420">
        <f t="shared" si="24"/>
        <v>1647.3317999999999</v>
      </c>
      <c r="V86" s="368"/>
    </row>
    <row r="87" spans="1:22" s="353" customFormat="1" x14ac:dyDescent="0.2">
      <c r="A87" s="375"/>
      <c r="B87" s="376" t="s">
        <v>357</v>
      </c>
      <c r="C87" s="377"/>
      <c r="D87" s="377"/>
      <c r="E87" s="377"/>
      <c r="F87" s="376"/>
      <c r="G87" s="378">
        <f>SUM(G78:G86)</f>
        <v>8925</v>
      </c>
      <c r="H87" s="380">
        <f>SUM(H78:H86)</f>
        <v>29.75</v>
      </c>
      <c r="I87" s="377"/>
      <c r="J87" s="377"/>
      <c r="K87" s="377"/>
      <c r="L87" s="376"/>
      <c r="M87" s="378">
        <f>SUM(M78:M86)</f>
        <v>29.75</v>
      </c>
      <c r="N87" s="380">
        <f>SUM(N78:N86)</f>
        <v>29.75</v>
      </c>
      <c r="O87" s="377"/>
      <c r="P87" s="377"/>
      <c r="Q87" s="377"/>
      <c r="R87" s="376"/>
      <c r="S87" s="378">
        <f>SUM(S78:S86)</f>
        <v>0</v>
      </c>
      <c r="T87" s="380">
        <f>SUM(T78:T86)</f>
        <v>0</v>
      </c>
      <c r="U87" s="443">
        <f>SUM(U78:U86)</f>
        <v>8954.75</v>
      </c>
      <c r="V87" s="368" t="e">
        <f>#REF!-#REF!-#REF!-#REF!</f>
        <v>#REF!</v>
      </c>
    </row>
    <row r="88" spans="1:22" s="353" customFormat="1" ht="13.5" thickBot="1" x14ac:dyDescent="0.25">
      <c r="A88" s="430"/>
      <c r="B88" s="431" t="s">
        <v>360</v>
      </c>
      <c r="C88" s="432"/>
      <c r="D88" s="432"/>
      <c r="E88" s="432"/>
      <c r="F88" s="431"/>
      <c r="G88" s="433">
        <f>G53+G65+G68+G77+G87</f>
        <v>629616.59899617604</v>
      </c>
      <c r="H88" s="434"/>
      <c r="I88" s="432"/>
      <c r="J88" s="432"/>
      <c r="K88" s="432"/>
      <c r="L88" s="431"/>
      <c r="M88" s="433">
        <f>M53+M65+M68+M77+M87</f>
        <v>85880.349999652681</v>
      </c>
      <c r="N88" s="434"/>
      <c r="O88" s="432"/>
      <c r="P88" s="432"/>
      <c r="Q88" s="432"/>
      <c r="R88" s="431"/>
      <c r="S88" s="433">
        <f>S53+S65+S68+S77+S87</f>
        <v>49436</v>
      </c>
      <c r="T88" s="434"/>
      <c r="U88" s="450">
        <f>U53+U65+U68+U77+U87</f>
        <v>764932.94899582863</v>
      </c>
      <c r="V88" s="368" t="e">
        <f>#REF!-#REF!-#REF!-#REF!</f>
        <v>#REF!</v>
      </c>
    </row>
    <row r="89" spans="1:22" outlineLevel="1" x14ac:dyDescent="0.2">
      <c r="A89" s="435"/>
      <c r="B89" s="374"/>
      <c r="C89" s="366"/>
      <c r="D89" s="362"/>
      <c r="E89" s="366"/>
      <c r="F89" s="366"/>
      <c r="G89" s="370">
        <f>G88-G10</f>
        <v>-1.0038239415735006E-3</v>
      </c>
      <c r="H89" s="370">
        <f>H7-H77</f>
        <v>0</v>
      </c>
      <c r="I89" s="370"/>
      <c r="J89" s="370"/>
      <c r="K89" s="370">
        <f>K7-K77</f>
        <v>0</v>
      </c>
      <c r="L89" s="370">
        <f>L7-L77</f>
        <v>0</v>
      </c>
      <c r="M89" s="370">
        <f>M88-M10</f>
        <v>-3.4732511267066002E-7</v>
      </c>
      <c r="N89" s="370">
        <f>N7-N77</f>
        <v>0</v>
      </c>
      <c r="O89" s="370">
        <f>O7-O77</f>
        <v>0</v>
      </c>
      <c r="P89" s="370">
        <f>P7-P77</f>
        <v>0</v>
      </c>
      <c r="Q89" s="370">
        <f>Q7-Q77</f>
        <v>0</v>
      </c>
      <c r="R89" s="370">
        <f>R7-R77</f>
        <v>0</v>
      </c>
      <c r="S89" s="370">
        <f>S88-S10</f>
        <v>0</v>
      </c>
      <c r="T89" s="370">
        <f>T7-T77</f>
        <v>0</v>
      </c>
      <c r="U89" s="370">
        <f>U7-U77</f>
        <v>0</v>
      </c>
      <c r="V89" s="368"/>
    </row>
    <row r="90" spans="1:22" outlineLevel="1" x14ac:dyDescent="0.2">
      <c r="A90" s="435"/>
      <c r="B90" s="374"/>
      <c r="C90" s="366"/>
      <c r="D90" s="362"/>
      <c r="E90" s="366"/>
      <c r="F90" s="457">
        <f>G90/G65</f>
        <v>0</v>
      </c>
      <c r="G90" s="370">
        <f>G8-G87</f>
        <v>0</v>
      </c>
      <c r="H90" s="437"/>
      <c r="I90" s="366"/>
      <c r="J90" s="362"/>
      <c r="K90" s="366"/>
      <c r="L90" s="457">
        <f>M90/M65</f>
        <v>0</v>
      </c>
      <c r="M90" s="370">
        <f>M8-M87</f>
        <v>0</v>
      </c>
      <c r="N90" s="412"/>
      <c r="O90" s="374"/>
      <c r="P90" s="366"/>
      <c r="Q90" s="366"/>
      <c r="R90" s="366"/>
      <c r="S90" s="362"/>
      <c r="T90" s="457">
        <f>U90/U65</f>
        <v>0</v>
      </c>
      <c r="U90" s="370">
        <f>U8-U87</f>
        <v>0</v>
      </c>
      <c r="V90" s="368"/>
    </row>
    <row r="91" spans="1:22" outlineLevel="1" x14ac:dyDescent="0.2">
      <c r="A91" s="435"/>
      <c r="B91" s="374"/>
      <c r="C91" s="366"/>
      <c r="D91" s="362"/>
      <c r="E91" s="366"/>
      <c r="F91" s="457"/>
      <c r="G91" s="370">
        <f t="shared" ref="G91:U91" si="25">G88-G10</f>
        <v>-1.0038239415735006E-3</v>
      </c>
      <c r="H91" s="370">
        <f t="shared" si="25"/>
        <v>0</v>
      </c>
      <c r="I91" s="370">
        <f t="shared" si="25"/>
        <v>0</v>
      </c>
      <c r="J91" s="370">
        <f t="shared" si="25"/>
        <v>0</v>
      </c>
      <c r="K91" s="370">
        <f t="shared" si="25"/>
        <v>0</v>
      </c>
      <c r="L91" s="370">
        <f t="shared" si="25"/>
        <v>0</v>
      </c>
      <c r="M91" s="370">
        <f t="shared" si="25"/>
        <v>-3.4732511267066002E-7</v>
      </c>
      <c r="N91" s="370">
        <f t="shared" si="25"/>
        <v>0</v>
      </c>
      <c r="O91" s="370">
        <f t="shared" si="25"/>
        <v>0</v>
      </c>
      <c r="P91" s="370">
        <f t="shared" si="25"/>
        <v>0</v>
      </c>
      <c r="Q91" s="370">
        <f t="shared" si="25"/>
        <v>0</v>
      </c>
      <c r="R91" s="370">
        <f t="shared" si="25"/>
        <v>0</v>
      </c>
      <c r="S91" s="370">
        <f t="shared" si="25"/>
        <v>0</v>
      </c>
      <c r="T91" s="370"/>
      <c r="U91" s="370">
        <f t="shared" si="25"/>
        <v>-1.0041713248938322E-3</v>
      </c>
      <c r="V91" s="368"/>
    </row>
  </sheetData>
  <autoFilter ref="A2:H53"/>
  <phoneticPr fontId="3" type="noConversion"/>
  <printOptions horizontalCentered="1"/>
  <pageMargins left="0" right="0" top="0.39370078740157483" bottom="0.39370078740157483" header="0.31496062992125984" footer="0.31496062992125984"/>
  <pageSetup paperSize="9" scale="7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X92"/>
  <sheetViews>
    <sheetView showZeros="0" zoomScale="90" zoomScaleNormal="90" workbookViewId="0">
      <pane xSplit="2" ySplit="2" topLeftCell="G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RowHeight="12.75" outlineLevelRow="1" outlineLevelCol="1" x14ac:dyDescent="0.2"/>
  <cols>
    <col min="1" max="1" width="3.85546875" bestFit="1" customWidth="1"/>
    <col min="2" max="2" width="39.28515625" bestFit="1" customWidth="1"/>
    <col min="3" max="3" width="9.85546875" hidden="1" customWidth="1" outlineLevel="1"/>
    <col min="4" max="4" width="8.7109375" hidden="1" customWidth="1" outlineLevel="1"/>
    <col min="5" max="5" width="9.28515625" hidden="1" customWidth="1" outlineLevel="1"/>
    <col min="6" max="6" width="8.5703125" hidden="1" customWidth="1" outlineLevel="1"/>
    <col min="7" max="7" width="11.85546875" style="13" customWidth="1" collapsed="1"/>
    <col min="8" max="8" width="9.7109375" style="239" customWidth="1"/>
    <col min="9" max="9" width="7.28515625" hidden="1" customWidth="1" outlineLevel="1"/>
    <col min="10" max="10" width="8.7109375" hidden="1" customWidth="1" outlineLevel="1"/>
    <col min="11" max="11" width="9.28515625" hidden="1" customWidth="1" outlineLevel="1"/>
    <col min="12" max="12" width="8.5703125" hidden="1" customWidth="1" outlineLevel="1"/>
    <col min="13" max="13" width="11.140625" style="13" customWidth="1" collapsed="1"/>
    <col min="14" max="14" width="10.5703125" style="239" bestFit="1" customWidth="1"/>
    <col min="15" max="16" width="8.7109375" hidden="1" customWidth="1" outlineLevel="1"/>
    <col min="17" max="17" width="9.28515625" hidden="1" customWidth="1" outlineLevel="1"/>
    <col min="18" max="18" width="8.5703125" hidden="1" customWidth="1" outlineLevel="1"/>
    <col min="19" max="19" width="10.42578125" style="13" bestFit="1" customWidth="1" collapsed="1"/>
    <col min="20" max="20" width="10.5703125" style="239" bestFit="1" customWidth="1"/>
    <col min="21" max="21" width="12" style="13" bestFit="1" customWidth="1" collapsed="1"/>
    <col min="22" max="22" width="1.5703125" hidden="1" customWidth="1" outlineLevel="1"/>
    <col min="23" max="23" width="9.85546875" hidden="1" customWidth="1" outlineLevel="1"/>
    <col min="24" max="24" width="9.140625" collapsed="1"/>
  </cols>
  <sheetData>
    <row r="1" spans="1:23" s="353" customFormat="1" ht="29.25" customHeight="1" x14ac:dyDescent="0.2">
      <c r="A1" s="346"/>
      <c r="B1" s="347"/>
      <c r="C1" s="348"/>
      <c r="D1" s="348"/>
      <c r="E1" s="348"/>
      <c r="F1" s="347"/>
      <c r="G1" s="345" t="s">
        <v>264</v>
      </c>
      <c r="H1" s="349"/>
      <c r="I1" s="348"/>
      <c r="J1" s="348"/>
      <c r="K1" s="348"/>
      <c r="L1" s="348"/>
      <c r="M1" s="350" t="s">
        <v>265</v>
      </c>
      <c r="N1" s="349"/>
      <c r="O1" s="348"/>
      <c r="P1" s="348"/>
      <c r="Q1" s="348"/>
      <c r="R1" s="348"/>
      <c r="S1" s="352" t="s">
        <v>266</v>
      </c>
      <c r="T1" s="349"/>
      <c r="U1" s="440" t="s">
        <v>263</v>
      </c>
    </row>
    <row r="2" spans="1:23" s="60" customFormat="1" ht="26.25" thickBot="1" x14ac:dyDescent="0.25">
      <c r="A2" s="277" t="s">
        <v>237</v>
      </c>
      <c r="B2" s="278" t="s">
        <v>238</v>
      </c>
      <c r="C2" s="279" t="s">
        <v>245</v>
      </c>
      <c r="D2" s="279" t="s">
        <v>318</v>
      </c>
      <c r="E2" s="279" t="s">
        <v>246</v>
      </c>
      <c r="F2" s="278" t="s">
        <v>232</v>
      </c>
      <c r="G2" s="280" t="s">
        <v>239</v>
      </c>
      <c r="H2" s="281" t="s">
        <v>240</v>
      </c>
      <c r="I2" s="279" t="s">
        <v>245</v>
      </c>
      <c r="J2" s="279" t="s">
        <v>318</v>
      </c>
      <c r="K2" s="279" t="s">
        <v>246</v>
      </c>
      <c r="L2" s="278" t="s">
        <v>232</v>
      </c>
      <c r="M2" s="280" t="s">
        <v>239</v>
      </c>
      <c r="N2" s="281" t="s">
        <v>240</v>
      </c>
      <c r="O2" s="279" t="s">
        <v>245</v>
      </c>
      <c r="P2" s="279" t="s">
        <v>318</v>
      </c>
      <c r="Q2" s="279" t="s">
        <v>246</v>
      </c>
      <c r="R2" s="278" t="s">
        <v>232</v>
      </c>
      <c r="S2" s="280" t="s">
        <v>239</v>
      </c>
      <c r="T2" s="281" t="s">
        <v>367</v>
      </c>
      <c r="U2" s="441" t="s">
        <v>239</v>
      </c>
    </row>
    <row r="3" spans="1:23" s="1" customFormat="1" x14ac:dyDescent="0.2">
      <c r="A3" s="282" t="s">
        <v>241</v>
      </c>
      <c r="B3" s="242"/>
      <c r="C3" s="243"/>
      <c r="D3" s="243"/>
      <c r="E3" s="243"/>
      <c r="F3" s="242"/>
      <c r="G3" s="244"/>
      <c r="H3" s="245"/>
      <c r="I3" s="243"/>
      <c r="J3" s="243"/>
      <c r="K3" s="243"/>
      <c r="L3" s="242"/>
      <c r="M3" s="244"/>
      <c r="N3" s="245"/>
      <c r="O3" s="243"/>
      <c r="P3" s="243"/>
      <c r="Q3" s="243"/>
      <c r="R3" s="242"/>
      <c r="S3" s="244"/>
      <c r="T3" s="245"/>
      <c r="U3" s="462"/>
    </row>
    <row r="4" spans="1:23" x14ac:dyDescent="0.2">
      <c r="A4" s="283">
        <v>1</v>
      </c>
      <c r="B4" s="37" t="s">
        <v>267</v>
      </c>
      <c r="C4" s="361">
        <v>44595.6</v>
      </c>
      <c r="D4" s="48">
        <v>5.82</v>
      </c>
      <c r="E4" s="329"/>
      <c r="F4" s="249"/>
      <c r="G4" s="48">
        <f>C4*D4</f>
        <v>259546.39199999999</v>
      </c>
      <c r="H4" s="36">
        <f>G4/C4</f>
        <v>5.82</v>
      </c>
      <c r="I4" s="47">
        <v>7100</v>
      </c>
      <c r="J4" s="48">
        <v>8.6</v>
      </c>
      <c r="K4" s="48"/>
      <c r="L4" s="249"/>
      <c r="M4" s="48">
        <f>I4*J4</f>
        <v>61060</v>
      </c>
      <c r="N4" s="39">
        <f>M4/I4</f>
        <v>8.6</v>
      </c>
      <c r="O4" s="47">
        <v>97</v>
      </c>
      <c r="P4" s="48">
        <v>198</v>
      </c>
      <c r="Q4" s="47"/>
      <c r="R4" s="249"/>
      <c r="S4" s="48">
        <f>O4*P4</f>
        <v>19206</v>
      </c>
      <c r="T4" s="39">
        <f>S4/O4</f>
        <v>198</v>
      </c>
      <c r="U4" s="38">
        <f t="shared" ref="U4:U9" si="0">G4+M4+S4</f>
        <v>339812.39199999999</v>
      </c>
      <c r="V4" s="248" t="e">
        <f>#REF!-#REF!-#REF!-#REF!</f>
        <v>#REF!</v>
      </c>
      <c r="W4" s="13">
        <f>U4-'2015-1'!U4</f>
        <v>11309.119999999995</v>
      </c>
    </row>
    <row r="5" spans="1:23" x14ac:dyDescent="0.2">
      <c r="A5" s="283">
        <v>2</v>
      </c>
      <c r="B5" s="37" t="s">
        <v>315</v>
      </c>
      <c r="C5" s="361">
        <v>43064.6</v>
      </c>
      <c r="D5" s="48">
        <v>4.68</v>
      </c>
      <c r="E5" s="47"/>
      <c r="F5" s="249"/>
      <c r="G5" s="247">
        <f>C5*D5</f>
        <v>201542.32799999998</v>
      </c>
      <c r="H5" s="36">
        <f>G5/C5</f>
        <v>4.68</v>
      </c>
      <c r="I5" s="47">
        <v>200</v>
      </c>
      <c r="J5" s="48">
        <f>D5</f>
        <v>4.68</v>
      </c>
      <c r="K5" s="47"/>
      <c r="L5" s="249"/>
      <c r="M5" s="48">
        <f>I5*J5</f>
        <v>936</v>
      </c>
      <c r="N5" s="39">
        <f>M5/I5</f>
        <v>4.68</v>
      </c>
      <c r="O5" s="47"/>
      <c r="P5" s="48"/>
      <c r="Q5" s="47"/>
      <c r="R5" s="249"/>
      <c r="S5" s="48">
        <f>O5*P5</f>
        <v>0</v>
      </c>
      <c r="T5" s="39"/>
      <c r="U5" s="38">
        <f t="shared" si="0"/>
        <v>202478.32799999998</v>
      </c>
      <c r="V5" s="248"/>
      <c r="W5" s="13">
        <f>U5-'2015-1'!U5</f>
        <v>0</v>
      </c>
    </row>
    <row r="6" spans="1:23" x14ac:dyDescent="0.2">
      <c r="A6" s="283">
        <v>3</v>
      </c>
      <c r="B6" s="37" t="s">
        <v>316</v>
      </c>
      <c r="C6" s="366">
        <v>200000</v>
      </c>
      <c r="D6" s="252">
        <v>0.78900000000000003</v>
      </c>
      <c r="E6" s="47"/>
      <c r="F6" s="249"/>
      <c r="G6" s="247">
        <f>C6*D6</f>
        <v>157800</v>
      </c>
      <c r="H6" s="36">
        <f>G6/C6</f>
        <v>0.78900000000000003</v>
      </c>
      <c r="I6" s="47">
        <v>15000</v>
      </c>
      <c r="J6" s="252">
        <v>1.88</v>
      </c>
      <c r="K6" s="265"/>
      <c r="L6" s="35"/>
      <c r="M6" s="48">
        <f>I6*J6</f>
        <v>28200</v>
      </c>
      <c r="N6" s="39">
        <f>M6/I6</f>
        <v>1.88</v>
      </c>
      <c r="O6" s="46"/>
      <c r="P6" s="47"/>
      <c r="Q6" s="47"/>
      <c r="R6" s="249"/>
      <c r="S6" s="48"/>
      <c r="T6" s="39">
        <f>S6/O$4</f>
        <v>0</v>
      </c>
      <c r="U6" s="38">
        <f t="shared" si="0"/>
        <v>186000</v>
      </c>
      <c r="V6" s="248"/>
      <c r="W6" s="13">
        <f>U6-'2015-1'!U6</f>
        <v>34800</v>
      </c>
    </row>
    <row r="7" spans="1:23" x14ac:dyDescent="0.2">
      <c r="A7" s="283">
        <v>4</v>
      </c>
      <c r="B7" s="37" t="s">
        <v>317</v>
      </c>
      <c r="C7" s="366">
        <v>5700</v>
      </c>
      <c r="D7" s="48">
        <v>7.46</v>
      </c>
      <c r="E7" s="47"/>
      <c r="F7" s="249"/>
      <c r="G7" s="247">
        <f>C7*D7</f>
        <v>42522</v>
      </c>
      <c r="H7" s="36">
        <f>G7/C7</f>
        <v>7.46</v>
      </c>
      <c r="I7" s="47">
        <v>10</v>
      </c>
      <c r="J7" s="48">
        <f>D7</f>
        <v>7.46</v>
      </c>
      <c r="K7" s="47"/>
      <c r="L7" s="249"/>
      <c r="M7" s="48">
        <f>I7*J7</f>
        <v>74.599999999999994</v>
      </c>
      <c r="N7" s="39">
        <f>M7/I7</f>
        <v>7.4599999999999991</v>
      </c>
      <c r="O7" s="46"/>
      <c r="P7" s="47"/>
      <c r="Q7" s="47"/>
      <c r="R7" s="249"/>
      <c r="S7" s="48"/>
      <c r="T7" s="39">
        <f>S7/O$4</f>
        <v>0</v>
      </c>
      <c r="U7" s="38">
        <f t="shared" si="0"/>
        <v>42596.6</v>
      </c>
      <c r="V7" s="248"/>
      <c r="W7" s="13">
        <f>U7-'2015-1'!U7</f>
        <v>0</v>
      </c>
    </row>
    <row r="8" spans="1:23" x14ac:dyDescent="0.2">
      <c r="A8" s="283">
        <v>5</v>
      </c>
      <c r="B8" s="37" t="s">
        <v>319</v>
      </c>
      <c r="C8" s="47">
        <v>300</v>
      </c>
      <c r="D8" s="48">
        <v>29.75</v>
      </c>
      <c r="E8" s="47"/>
      <c r="F8" s="249"/>
      <c r="G8" s="247">
        <f>C8*D8</f>
        <v>8925</v>
      </c>
      <c r="H8" s="36">
        <f>G8/C8</f>
        <v>29.75</v>
      </c>
      <c r="I8" s="47">
        <v>1</v>
      </c>
      <c r="J8" s="48">
        <f>D8</f>
        <v>29.75</v>
      </c>
      <c r="K8" s="47"/>
      <c r="L8" s="249"/>
      <c r="M8" s="48">
        <f>I8*J8</f>
        <v>29.75</v>
      </c>
      <c r="N8" s="39">
        <f>M8/I8</f>
        <v>29.75</v>
      </c>
      <c r="O8" s="46"/>
      <c r="P8" s="47"/>
      <c r="Q8" s="47"/>
      <c r="R8" s="249"/>
      <c r="S8" s="48"/>
      <c r="T8" s="39">
        <f>S8/O$4</f>
        <v>0</v>
      </c>
      <c r="U8" s="38">
        <f t="shared" si="0"/>
        <v>8954.75</v>
      </c>
      <c r="V8" s="248"/>
      <c r="W8" s="13">
        <f>U8-'2015-1'!U8</f>
        <v>0</v>
      </c>
    </row>
    <row r="9" spans="1:23" x14ac:dyDescent="0.2">
      <c r="A9" s="283">
        <v>6</v>
      </c>
      <c r="B9" s="37" t="s">
        <v>365</v>
      </c>
      <c r="C9" s="47"/>
      <c r="D9" s="48"/>
      <c r="E9" s="47"/>
      <c r="F9" s="249"/>
      <c r="G9" s="247"/>
      <c r="H9" s="36"/>
      <c r="I9" s="47"/>
      <c r="J9" s="48"/>
      <c r="K9" s="47"/>
      <c r="L9" s="249"/>
      <c r="M9" s="48"/>
      <c r="N9" s="39"/>
      <c r="O9" s="47">
        <v>78</v>
      </c>
      <c r="P9" s="48">
        <v>400</v>
      </c>
      <c r="Q9" s="47"/>
      <c r="R9" s="249"/>
      <c r="S9" s="48">
        <f>O9*P9</f>
        <v>31200</v>
      </c>
      <c r="T9" s="39">
        <f>S9/O9</f>
        <v>400</v>
      </c>
      <c r="U9" s="38">
        <f t="shared" si="0"/>
        <v>31200</v>
      </c>
      <c r="V9" s="248"/>
      <c r="W9" s="13">
        <f>U9-'2015-1'!U9</f>
        <v>0</v>
      </c>
    </row>
    <row r="10" spans="1:23" s="1" customFormat="1" x14ac:dyDescent="0.2">
      <c r="A10" s="284"/>
      <c r="B10" s="58" t="s">
        <v>320</v>
      </c>
      <c r="C10" s="59"/>
      <c r="D10" s="59"/>
      <c r="E10" s="59"/>
      <c r="F10" s="58"/>
      <c r="G10" s="255">
        <f>SUM(G4:G9)</f>
        <v>670335.72</v>
      </c>
      <c r="H10" s="256"/>
      <c r="I10" s="59"/>
      <c r="J10" s="59"/>
      <c r="K10" s="59"/>
      <c r="L10" s="58"/>
      <c r="M10" s="255">
        <f>SUM(M4:M9)</f>
        <v>90300.35</v>
      </c>
      <c r="N10" s="257"/>
      <c r="O10" s="59"/>
      <c r="P10" s="59"/>
      <c r="Q10" s="59"/>
      <c r="R10" s="58"/>
      <c r="S10" s="255">
        <f>SUM(S4:S9)</f>
        <v>50406</v>
      </c>
      <c r="T10" s="343"/>
      <c r="U10" s="343">
        <f>SUM(U4:U9)</f>
        <v>811042.07</v>
      </c>
      <c r="V10" s="248" t="e">
        <f>#REF!-#REF!-#REF!-#REF!</f>
        <v>#REF!</v>
      </c>
      <c r="W10" s="13">
        <f>U10-'2015-1'!U10</f>
        <v>46109.119999999995</v>
      </c>
    </row>
    <row r="11" spans="1:23" s="1" customFormat="1" ht="13.5" thickBot="1" x14ac:dyDescent="0.25">
      <c r="A11" s="285" t="s">
        <v>242</v>
      </c>
      <c r="B11" s="286"/>
      <c r="C11" s="287"/>
      <c r="D11" s="287"/>
      <c r="E11" s="287"/>
      <c r="F11" s="286"/>
      <c r="G11" s="288"/>
      <c r="H11" s="289"/>
      <c r="I11" s="287"/>
      <c r="J11" s="287"/>
      <c r="K11" s="287"/>
      <c r="L11" s="286"/>
      <c r="M11" s="288"/>
      <c r="N11" s="289"/>
      <c r="O11" s="287"/>
      <c r="P11" s="287"/>
      <c r="Q11" s="287"/>
      <c r="R11" s="286"/>
      <c r="S11" s="288"/>
      <c r="T11" s="289"/>
      <c r="U11" s="463"/>
      <c r="V11" s="248" t="e">
        <f>#REF!-#REF!-#REF!-#REF!</f>
        <v>#REF!</v>
      </c>
      <c r="W11" s="13">
        <f>U11-'2015-1'!U11</f>
        <v>0</v>
      </c>
    </row>
    <row r="12" spans="1:23" s="1" customFormat="1" x14ac:dyDescent="0.2">
      <c r="A12" s="290" t="s">
        <v>321</v>
      </c>
      <c r="B12" s="258"/>
      <c r="C12" s="259"/>
      <c r="D12" s="259"/>
      <c r="E12" s="259"/>
      <c r="F12" s="258"/>
      <c r="G12" s="260"/>
      <c r="H12" s="261"/>
      <c r="I12" s="259"/>
      <c r="J12" s="259"/>
      <c r="K12" s="259"/>
      <c r="L12" s="258"/>
      <c r="M12" s="260"/>
      <c r="N12" s="261"/>
      <c r="O12" s="259"/>
      <c r="P12" s="259"/>
      <c r="Q12" s="259"/>
      <c r="R12" s="258"/>
      <c r="S12" s="260"/>
      <c r="T12" s="261"/>
      <c r="U12" s="464"/>
      <c r="V12" s="248"/>
      <c r="W12" s="13">
        <f>U12-'2015-1'!U12</f>
        <v>0</v>
      </c>
    </row>
    <row r="13" spans="1:23" s="1" customFormat="1" x14ac:dyDescent="0.2">
      <c r="A13" s="291">
        <v>1</v>
      </c>
      <c r="B13" s="55" t="s">
        <v>243</v>
      </c>
      <c r="C13" s="43"/>
      <c r="D13" s="44"/>
      <c r="E13" s="44">
        <f>SUM(E14:E26)</f>
        <v>75408.612066666668</v>
      </c>
      <c r="F13" s="250">
        <f>SUM(F14:F26)</f>
        <v>52806.652383333334</v>
      </c>
      <c r="G13" s="45">
        <f>SUM(G14:G26)</f>
        <v>115393.73800500001</v>
      </c>
      <c r="H13" s="240">
        <f t="shared" ref="H13:H23" si="1">G13/C$4</f>
        <v>2.5875588175739312</v>
      </c>
      <c r="I13" s="43"/>
      <c r="J13" s="44"/>
      <c r="K13" s="44">
        <f>SUM(K14:K26)</f>
        <v>75408.612066666668</v>
      </c>
      <c r="L13" s="250">
        <f>SUM(L14:L26)</f>
        <v>52806.652383333334</v>
      </c>
      <c r="M13" s="45">
        <f>SUM(M14:M26)</f>
        <v>12821.526445</v>
      </c>
      <c r="N13" s="240">
        <f t="shared" ref="N13:N23" si="2">M13/I$4</f>
        <v>1.8058487950704225</v>
      </c>
      <c r="O13" s="43"/>
      <c r="P13" s="44"/>
      <c r="Q13" s="44">
        <f>SUM(Q14:Q26)</f>
        <v>66737.850399999996</v>
      </c>
      <c r="R13" s="250">
        <f>SUM(R14:R26)</f>
        <v>46734.747799999997</v>
      </c>
      <c r="S13" s="45">
        <f>SUM(S14:S26)</f>
        <v>0</v>
      </c>
      <c r="T13" s="240">
        <f>S13/O$4</f>
        <v>0</v>
      </c>
      <c r="U13" s="461">
        <f t="shared" ref="U13:U23" si="3">G13+M13+S13</f>
        <v>128215.26445</v>
      </c>
      <c r="V13" s="248" t="e">
        <f>#REF!-#REF!-#REF!-#REF!</f>
        <v>#REF!</v>
      </c>
      <c r="W13" s="13">
        <f>U13-'2015-1'!U13</f>
        <v>0</v>
      </c>
    </row>
    <row r="14" spans="1:23" x14ac:dyDescent="0.2">
      <c r="A14" s="283"/>
      <c r="B14" s="37" t="str">
        <f>штат!A5</f>
        <v>Виконавчий директор / головний інженер</v>
      </c>
      <c r="C14" s="46">
        <f>штат!B5</f>
        <v>1</v>
      </c>
      <c r="D14" s="47">
        <f>штат!C5</f>
        <v>12450</v>
      </c>
      <c r="E14" s="47">
        <f>штат!K5</f>
        <v>10849.345000000001</v>
      </c>
      <c r="F14" s="249">
        <f>штат!L5</f>
        <v>7597.50875</v>
      </c>
      <c r="G14" s="48">
        <f>штат!$M5*G$55</f>
        <v>16602.168375000001</v>
      </c>
      <c r="H14" s="36">
        <f t="shared" si="1"/>
        <v>0.37228265512741171</v>
      </c>
      <c r="I14" s="46">
        <f t="shared" ref="I14:I23" si="4">C14</f>
        <v>1</v>
      </c>
      <c r="J14" s="47">
        <f t="shared" ref="J14:J23" si="5">D14</f>
        <v>12450</v>
      </c>
      <c r="K14" s="47">
        <f t="shared" ref="K14:K23" si="6">E14</f>
        <v>10849.345000000001</v>
      </c>
      <c r="L14" s="249">
        <f t="shared" ref="L14:L23" si="7">F14</f>
        <v>7597.50875</v>
      </c>
      <c r="M14" s="48">
        <f>штат!$M5*M$55</f>
        <v>1844.6853749999998</v>
      </c>
      <c r="N14" s="36">
        <f t="shared" si="2"/>
        <v>0.25981484154929574</v>
      </c>
      <c r="O14" s="46">
        <f t="shared" ref="O14:R15" si="8">I14</f>
        <v>1</v>
      </c>
      <c r="P14" s="47">
        <f t="shared" si="8"/>
        <v>12450</v>
      </c>
      <c r="Q14" s="47">
        <f t="shared" si="8"/>
        <v>10849.345000000001</v>
      </c>
      <c r="R14" s="249">
        <f t="shared" si="8"/>
        <v>7597.50875</v>
      </c>
      <c r="S14" s="48">
        <f>штат!$M5*S$55</f>
        <v>0</v>
      </c>
      <c r="T14" s="36">
        <f>S14/O$4</f>
        <v>0</v>
      </c>
      <c r="U14" s="38">
        <f t="shared" si="3"/>
        <v>18446.853750000002</v>
      </c>
      <c r="V14" s="248" t="e">
        <f>#REF!-#REF!-#REF!-#REF!</f>
        <v>#REF!</v>
      </c>
      <c r="W14" s="13">
        <f>U14-'2015-1'!U14</f>
        <v>0</v>
      </c>
    </row>
    <row r="15" spans="1:23" x14ac:dyDescent="0.2">
      <c r="A15" s="283"/>
      <c r="B15" s="37" t="str">
        <f>штат!A6</f>
        <v>Директор з організаційних питань</v>
      </c>
      <c r="C15" s="46">
        <f>штат!B6</f>
        <v>1</v>
      </c>
      <c r="D15" s="47">
        <f>штат!C6</f>
        <v>0</v>
      </c>
      <c r="E15" s="47">
        <f>штат!K6</f>
        <v>0</v>
      </c>
      <c r="F15" s="249">
        <f>штат!L6</f>
        <v>0</v>
      </c>
      <c r="G15" s="48">
        <f>штат!$M6*G$55</f>
        <v>0</v>
      </c>
      <c r="H15" s="36">
        <f t="shared" si="1"/>
        <v>0</v>
      </c>
      <c r="I15" s="46">
        <f t="shared" si="4"/>
        <v>1</v>
      </c>
      <c r="J15" s="47">
        <f t="shared" si="5"/>
        <v>0</v>
      </c>
      <c r="K15" s="47">
        <f t="shared" si="6"/>
        <v>0</v>
      </c>
      <c r="L15" s="249">
        <f t="shared" si="7"/>
        <v>0</v>
      </c>
      <c r="M15" s="48">
        <f>штат!$M6*M$55</f>
        <v>0</v>
      </c>
      <c r="N15" s="36">
        <f t="shared" si="2"/>
        <v>0</v>
      </c>
      <c r="O15" s="46">
        <f t="shared" si="8"/>
        <v>1</v>
      </c>
      <c r="P15" s="47">
        <f t="shared" si="8"/>
        <v>0</v>
      </c>
      <c r="Q15" s="47">
        <f t="shared" si="8"/>
        <v>0</v>
      </c>
      <c r="R15" s="249">
        <f t="shared" si="8"/>
        <v>0</v>
      </c>
      <c r="S15" s="48">
        <f>штат!$M6*S$55</f>
        <v>0</v>
      </c>
      <c r="T15" s="36">
        <f>S15/O$4</f>
        <v>0</v>
      </c>
      <c r="U15" s="38">
        <f t="shared" si="3"/>
        <v>0</v>
      </c>
      <c r="V15" s="248" t="e">
        <f>#REF!-#REF!-#REF!-#REF!</f>
        <v>#REF!</v>
      </c>
      <c r="W15" s="13">
        <f>U15-'2015-1'!U15</f>
        <v>0</v>
      </c>
    </row>
    <row r="16" spans="1:23" x14ac:dyDescent="0.2">
      <c r="A16" s="283"/>
      <c r="B16" s="37" t="str">
        <f>штат!A7</f>
        <v>Начальник дільниці</v>
      </c>
      <c r="C16" s="46">
        <f>штат!B7</f>
        <v>1</v>
      </c>
      <c r="D16" s="47">
        <f>штат!C7</f>
        <v>9950</v>
      </c>
      <c r="E16" s="47">
        <f>штат!K7</f>
        <v>8670.7616666666672</v>
      </c>
      <c r="F16" s="249">
        <f>штат!L7</f>
        <v>6071.904583333333</v>
      </c>
      <c r="G16" s="48">
        <f>штат!$M7*G$55</f>
        <v>13268.399625</v>
      </c>
      <c r="H16" s="36">
        <f t="shared" si="1"/>
        <v>0.29752710188897563</v>
      </c>
      <c r="I16" s="46">
        <f t="shared" si="4"/>
        <v>1</v>
      </c>
      <c r="J16" s="47">
        <f t="shared" si="5"/>
        <v>9950</v>
      </c>
      <c r="K16" s="47">
        <f t="shared" si="6"/>
        <v>8670.7616666666672</v>
      </c>
      <c r="L16" s="249">
        <f t="shared" si="7"/>
        <v>6071.904583333333</v>
      </c>
      <c r="M16" s="48">
        <f>штат!$M7*M$55</f>
        <v>1474.2666249999997</v>
      </c>
      <c r="N16" s="36">
        <f t="shared" si="2"/>
        <v>0.20764318661971828</v>
      </c>
      <c r="O16" s="46"/>
      <c r="P16" s="47"/>
      <c r="Q16" s="47"/>
      <c r="R16" s="249"/>
      <c r="S16" s="48"/>
      <c r="T16" s="36"/>
      <c r="U16" s="38">
        <f t="shared" si="3"/>
        <v>14742.66625</v>
      </c>
      <c r="V16" s="248" t="e">
        <f>#REF!-#REF!-#REF!-#REF!</f>
        <v>#REF!</v>
      </c>
      <c r="W16" s="13">
        <f>U16-'2015-1'!U16</f>
        <v>0</v>
      </c>
    </row>
    <row r="17" spans="1:23" x14ac:dyDescent="0.2">
      <c r="A17" s="283"/>
      <c r="B17" s="37" t="str">
        <f>штат!A8</f>
        <v>Головний бухгалтер</v>
      </c>
      <c r="C17" s="46">
        <f>штат!B8</f>
        <v>1</v>
      </c>
      <c r="D17" s="47">
        <f>штат!C8</f>
        <v>6220</v>
      </c>
      <c r="E17" s="47">
        <f>штат!K8</f>
        <v>5420.315333333333</v>
      </c>
      <c r="F17" s="249">
        <f>штат!L8</f>
        <v>3795.7031666666662</v>
      </c>
      <c r="G17" s="48">
        <f>штат!$M8*G$55</f>
        <v>8294.4166499999992</v>
      </c>
      <c r="H17" s="36">
        <f t="shared" si="1"/>
        <v>0.18599181645722895</v>
      </c>
      <c r="I17" s="46">
        <f t="shared" si="4"/>
        <v>1</v>
      </c>
      <c r="J17" s="47">
        <f t="shared" si="5"/>
        <v>6220</v>
      </c>
      <c r="K17" s="47">
        <f t="shared" si="6"/>
        <v>5420.315333333333</v>
      </c>
      <c r="L17" s="249">
        <f t="shared" si="7"/>
        <v>3795.7031666666662</v>
      </c>
      <c r="M17" s="48">
        <f>штат!$M8*M$55</f>
        <v>921.60184999999967</v>
      </c>
      <c r="N17" s="36">
        <f t="shared" si="2"/>
        <v>0.1298030774647887</v>
      </c>
      <c r="O17" s="46">
        <f t="shared" ref="O17:R23" si="9">I17</f>
        <v>1</v>
      </c>
      <c r="P17" s="47">
        <f t="shared" si="9"/>
        <v>6220</v>
      </c>
      <c r="Q17" s="47">
        <f t="shared" si="9"/>
        <v>5420.315333333333</v>
      </c>
      <c r="R17" s="249">
        <f t="shared" si="9"/>
        <v>3795.7031666666662</v>
      </c>
      <c r="S17" s="48">
        <f>штат!$M8*S$55</f>
        <v>0</v>
      </c>
      <c r="T17" s="36">
        <f t="shared" ref="T17:T23" si="10">S17/O$4</f>
        <v>0</v>
      </c>
      <c r="U17" s="38">
        <f t="shared" si="3"/>
        <v>9216.0184999999983</v>
      </c>
      <c r="V17" s="248" t="e">
        <f>#REF!-#REF!-#REF!-#REF!</f>
        <v>#REF!</v>
      </c>
      <c r="W17" s="13">
        <f>U17-'2015-1'!U17</f>
        <v>0</v>
      </c>
    </row>
    <row r="18" spans="1:23" x14ac:dyDescent="0.2">
      <c r="A18" s="283"/>
      <c r="B18" s="37" t="str">
        <f>штат!A9</f>
        <v>Бухгалтер</v>
      </c>
      <c r="C18" s="46">
        <f>штат!B9</f>
        <v>1</v>
      </c>
      <c r="D18" s="47">
        <f>штат!C9</f>
        <v>3730</v>
      </c>
      <c r="E18" s="47">
        <f>штат!K9</f>
        <v>3250.4463333333333</v>
      </c>
      <c r="F18" s="249">
        <f>штат!L9</f>
        <v>2276.2014166666672</v>
      </c>
      <c r="G18" s="48">
        <f>штат!$M9*G$55</f>
        <v>4973.9829749999999</v>
      </c>
      <c r="H18" s="36">
        <f t="shared" si="1"/>
        <v>0.11153528543174664</v>
      </c>
      <c r="I18" s="46">
        <f t="shared" si="4"/>
        <v>1</v>
      </c>
      <c r="J18" s="47">
        <f t="shared" si="5"/>
        <v>3730</v>
      </c>
      <c r="K18" s="47">
        <f t="shared" si="6"/>
        <v>3250.4463333333333</v>
      </c>
      <c r="L18" s="249">
        <f t="shared" si="7"/>
        <v>2276.2014166666672</v>
      </c>
      <c r="M18" s="48">
        <f>штат!$M9*M$55</f>
        <v>552.66477499999985</v>
      </c>
      <c r="N18" s="36">
        <f t="shared" si="2"/>
        <v>7.784010915492956E-2</v>
      </c>
      <c r="O18" s="46">
        <f t="shared" si="9"/>
        <v>1</v>
      </c>
      <c r="P18" s="47">
        <f t="shared" si="9"/>
        <v>3730</v>
      </c>
      <c r="Q18" s="47">
        <f t="shared" si="9"/>
        <v>3250.4463333333333</v>
      </c>
      <c r="R18" s="249">
        <f t="shared" si="9"/>
        <v>2276.2014166666672</v>
      </c>
      <c r="S18" s="48">
        <f>штат!$M9*S$55</f>
        <v>0</v>
      </c>
      <c r="T18" s="36">
        <f t="shared" si="10"/>
        <v>0</v>
      </c>
      <c r="U18" s="38">
        <f t="shared" si="3"/>
        <v>5526.6477500000001</v>
      </c>
      <c r="V18" s="248" t="e">
        <f>#REF!-#REF!-#REF!-#REF!</f>
        <v>#REF!</v>
      </c>
      <c r="W18" s="13">
        <f>U18-'2015-1'!U18</f>
        <v>0</v>
      </c>
    </row>
    <row r="19" spans="1:23" x14ac:dyDescent="0.2">
      <c r="A19" s="283"/>
      <c r="B19" s="37" t="str">
        <f>штат!A10</f>
        <v>Електрик-механік</v>
      </c>
      <c r="C19" s="46">
        <f>штат!B10</f>
        <v>1</v>
      </c>
      <c r="D19" s="47">
        <f>штат!C10</f>
        <v>5720</v>
      </c>
      <c r="E19" s="47">
        <f>штат!K10</f>
        <v>4984.5986666666677</v>
      </c>
      <c r="F19" s="249">
        <f>штат!L10</f>
        <v>3490.5823333333333</v>
      </c>
      <c r="G19" s="48">
        <f>штат!$M10*G$55</f>
        <v>7627.6629000000003</v>
      </c>
      <c r="H19" s="36">
        <f t="shared" si="1"/>
        <v>0.17104070580954175</v>
      </c>
      <c r="I19" s="46">
        <f t="shared" si="4"/>
        <v>1</v>
      </c>
      <c r="J19" s="47">
        <f t="shared" si="5"/>
        <v>5720</v>
      </c>
      <c r="K19" s="47">
        <f t="shared" si="6"/>
        <v>4984.5986666666677</v>
      </c>
      <c r="L19" s="249">
        <f t="shared" si="7"/>
        <v>3490.5823333333333</v>
      </c>
      <c r="M19" s="48">
        <f>штат!$M10*M$55</f>
        <v>847.51809999999989</v>
      </c>
      <c r="N19" s="36">
        <f t="shared" si="2"/>
        <v>0.11936874647887323</v>
      </c>
      <c r="O19" s="46">
        <f t="shared" si="9"/>
        <v>1</v>
      </c>
      <c r="P19" s="47">
        <f t="shared" si="9"/>
        <v>5720</v>
      </c>
      <c r="Q19" s="47">
        <f t="shared" si="9"/>
        <v>4984.5986666666677</v>
      </c>
      <c r="R19" s="249">
        <f t="shared" si="9"/>
        <v>3490.5823333333333</v>
      </c>
      <c r="S19" s="48">
        <f>штат!$M10*S$55</f>
        <v>0</v>
      </c>
      <c r="T19" s="36">
        <f t="shared" si="10"/>
        <v>0</v>
      </c>
      <c r="U19" s="38">
        <f t="shared" si="3"/>
        <v>8475.1810000000005</v>
      </c>
      <c r="V19" s="248" t="e">
        <f>#REF!-#REF!-#REF!-#REF!</f>
        <v>#REF!</v>
      </c>
      <c r="W19" s="13">
        <f>U19-'2015-1'!U19</f>
        <v>0</v>
      </c>
    </row>
    <row r="20" spans="1:23" x14ac:dyDescent="0.2">
      <c r="A20" s="283"/>
      <c r="B20" s="37" t="str">
        <f>штат!A11</f>
        <v>Електрик-ліфтер</v>
      </c>
      <c r="C20" s="46">
        <f>штат!B11</f>
        <v>1</v>
      </c>
      <c r="D20" s="47">
        <f>штат!C11</f>
        <v>4850</v>
      </c>
      <c r="E20" s="47">
        <f>штат!K11</f>
        <v>4226.4516666666677</v>
      </c>
      <c r="F20" s="249">
        <f>штат!L11</f>
        <v>2959.6720833333338</v>
      </c>
      <c r="G20" s="48">
        <f>штат!$M11*G$55</f>
        <v>6467.5113750000019</v>
      </c>
      <c r="H20" s="36">
        <f t="shared" si="1"/>
        <v>0.14502577328256605</v>
      </c>
      <c r="I20" s="46">
        <f t="shared" si="4"/>
        <v>1</v>
      </c>
      <c r="J20" s="47">
        <f t="shared" si="5"/>
        <v>4850</v>
      </c>
      <c r="K20" s="47">
        <f t="shared" si="6"/>
        <v>4226.4516666666677</v>
      </c>
      <c r="L20" s="249">
        <f t="shared" si="7"/>
        <v>2959.6720833333338</v>
      </c>
      <c r="M20" s="48">
        <f>штат!$M11*M$55</f>
        <v>718.61237500000004</v>
      </c>
      <c r="N20" s="36">
        <f t="shared" si="2"/>
        <v>0.10121301056338029</v>
      </c>
      <c r="O20" s="46">
        <f t="shared" si="9"/>
        <v>1</v>
      </c>
      <c r="P20" s="47">
        <f t="shared" si="9"/>
        <v>4850</v>
      </c>
      <c r="Q20" s="47">
        <f t="shared" si="9"/>
        <v>4226.4516666666677</v>
      </c>
      <c r="R20" s="249">
        <f t="shared" si="9"/>
        <v>2959.6720833333338</v>
      </c>
      <c r="S20" s="48">
        <f>штат!$M11*S$55</f>
        <v>0</v>
      </c>
      <c r="T20" s="36">
        <f t="shared" si="10"/>
        <v>0</v>
      </c>
      <c r="U20" s="38">
        <f t="shared" si="3"/>
        <v>7186.1237500000016</v>
      </c>
      <c r="V20" s="248" t="e">
        <f>#REF!-#REF!-#REF!-#REF!</f>
        <v>#REF!</v>
      </c>
      <c r="W20" s="13">
        <f>U20-'2015-1'!U20</f>
        <v>0</v>
      </c>
    </row>
    <row r="21" spans="1:23" x14ac:dyDescent="0.2">
      <c r="A21" s="283"/>
      <c r="B21" s="37" t="str">
        <f>штат!A12</f>
        <v>Сантехнік-зварювальник</v>
      </c>
      <c r="C21" s="46">
        <f>штат!B12</f>
        <v>1</v>
      </c>
      <c r="D21" s="47">
        <f>штат!C12</f>
        <v>4850</v>
      </c>
      <c r="E21" s="47">
        <f>штат!K12</f>
        <v>4226.4516666666677</v>
      </c>
      <c r="F21" s="249">
        <f>штат!L12</f>
        <v>2959.6720833333338</v>
      </c>
      <c r="G21" s="48">
        <f>штат!$M12*G$55</f>
        <v>6467.5113750000019</v>
      </c>
      <c r="H21" s="36">
        <f t="shared" si="1"/>
        <v>0.14502577328256605</v>
      </c>
      <c r="I21" s="46">
        <f t="shared" si="4"/>
        <v>1</v>
      </c>
      <c r="J21" s="47">
        <f t="shared" si="5"/>
        <v>4850</v>
      </c>
      <c r="K21" s="47">
        <f t="shared" si="6"/>
        <v>4226.4516666666677</v>
      </c>
      <c r="L21" s="249">
        <f t="shared" si="7"/>
        <v>2959.6720833333338</v>
      </c>
      <c r="M21" s="48">
        <f>штат!$M12*M$55</f>
        <v>718.61237500000004</v>
      </c>
      <c r="N21" s="36">
        <f t="shared" si="2"/>
        <v>0.10121301056338029</v>
      </c>
      <c r="O21" s="46">
        <f t="shared" si="9"/>
        <v>1</v>
      </c>
      <c r="P21" s="47">
        <f t="shared" si="9"/>
        <v>4850</v>
      </c>
      <c r="Q21" s="47">
        <f t="shared" si="9"/>
        <v>4226.4516666666677</v>
      </c>
      <c r="R21" s="249">
        <f t="shared" si="9"/>
        <v>2959.6720833333338</v>
      </c>
      <c r="S21" s="48">
        <f>штат!$M12*S$55</f>
        <v>0</v>
      </c>
      <c r="T21" s="36">
        <f t="shared" si="10"/>
        <v>0</v>
      </c>
      <c r="U21" s="38">
        <f t="shared" si="3"/>
        <v>7186.1237500000016</v>
      </c>
      <c r="V21" s="248" t="e">
        <f>#REF!-#REF!-#REF!-#REF!</f>
        <v>#REF!</v>
      </c>
      <c r="W21" s="13">
        <f>U21-'2015-1'!U21</f>
        <v>0</v>
      </c>
    </row>
    <row r="22" spans="1:23" x14ac:dyDescent="0.2">
      <c r="A22" s="283"/>
      <c r="B22" s="37" t="str">
        <f>штат!A13</f>
        <v>Слюсар-сантехнік</v>
      </c>
      <c r="C22" s="46">
        <f>штат!B13</f>
        <v>1</v>
      </c>
      <c r="D22" s="47">
        <f>штат!C13</f>
        <v>3850</v>
      </c>
      <c r="E22" s="47">
        <f>штат!K13</f>
        <v>3355.018333333333</v>
      </c>
      <c r="F22" s="249">
        <f>штат!L13</f>
        <v>2349.4304166666666</v>
      </c>
      <c r="G22" s="48">
        <f>штат!$M13*G$55</f>
        <v>5134.0038749999994</v>
      </c>
      <c r="H22" s="36">
        <f t="shared" si="1"/>
        <v>0.11512355198719156</v>
      </c>
      <c r="I22" s="46">
        <f t="shared" si="4"/>
        <v>1</v>
      </c>
      <c r="J22" s="47">
        <f t="shared" si="5"/>
        <v>3850</v>
      </c>
      <c r="K22" s="47">
        <f t="shared" si="6"/>
        <v>3355.018333333333</v>
      </c>
      <c r="L22" s="249">
        <f t="shared" si="7"/>
        <v>2349.4304166666666</v>
      </c>
      <c r="M22" s="48">
        <f>штат!$M13*M$55</f>
        <v>570.4448749999998</v>
      </c>
      <c r="N22" s="36">
        <f t="shared" si="2"/>
        <v>8.0344348591549264E-2</v>
      </c>
      <c r="O22" s="46">
        <f t="shared" si="9"/>
        <v>1</v>
      </c>
      <c r="P22" s="47">
        <f t="shared" si="9"/>
        <v>3850</v>
      </c>
      <c r="Q22" s="47">
        <f t="shared" si="9"/>
        <v>3355.018333333333</v>
      </c>
      <c r="R22" s="249">
        <f t="shared" si="9"/>
        <v>2349.4304166666666</v>
      </c>
      <c r="S22" s="48">
        <f>штат!$M13*S$55</f>
        <v>0</v>
      </c>
      <c r="T22" s="36">
        <f t="shared" si="10"/>
        <v>0</v>
      </c>
      <c r="U22" s="38">
        <f t="shared" si="3"/>
        <v>5704.4487499999996</v>
      </c>
      <c r="V22" s="248" t="e">
        <f>#REF!-#REF!-#REF!-#REF!</f>
        <v>#REF!</v>
      </c>
      <c r="W22" s="13">
        <f>U22-'2015-1'!U22</f>
        <v>0</v>
      </c>
    </row>
    <row r="23" spans="1:23" x14ac:dyDescent="0.2">
      <c r="A23" s="283"/>
      <c r="B23" s="37" t="str">
        <f>штат!A14</f>
        <v>Диспетчер</v>
      </c>
      <c r="C23" s="46">
        <f>штат!B14</f>
        <v>4</v>
      </c>
      <c r="D23" s="47">
        <f>штат!C14</f>
        <v>3106</v>
      </c>
      <c r="E23" s="47">
        <f>штат!K14</f>
        <v>10826.687733333334</v>
      </c>
      <c r="F23" s="249">
        <f>штат!L14</f>
        <v>7581.6424666666671</v>
      </c>
      <c r="G23" s="48">
        <f>штат!$M14*G$55</f>
        <v>16567.497180000002</v>
      </c>
      <c r="H23" s="36">
        <f t="shared" si="1"/>
        <v>0.371505197373732</v>
      </c>
      <c r="I23" s="46">
        <f t="shared" si="4"/>
        <v>4</v>
      </c>
      <c r="J23" s="47">
        <f t="shared" si="5"/>
        <v>3106</v>
      </c>
      <c r="K23" s="47">
        <f t="shared" si="6"/>
        <v>10826.687733333334</v>
      </c>
      <c r="L23" s="249">
        <f t="shared" si="7"/>
        <v>7581.6424666666671</v>
      </c>
      <c r="M23" s="48">
        <f>штат!$M14*M$55</f>
        <v>1840.8330199999996</v>
      </c>
      <c r="N23" s="36">
        <f t="shared" si="2"/>
        <v>0.25927225633802808</v>
      </c>
      <c r="O23" s="46">
        <f t="shared" si="9"/>
        <v>4</v>
      </c>
      <c r="P23" s="47">
        <f t="shared" si="9"/>
        <v>3106</v>
      </c>
      <c r="Q23" s="47">
        <f t="shared" si="9"/>
        <v>10826.687733333334</v>
      </c>
      <c r="R23" s="249">
        <f t="shared" si="9"/>
        <v>7581.6424666666671</v>
      </c>
      <c r="S23" s="48">
        <f>штат!$M14*S$55</f>
        <v>0</v>
      </c>
      <c r="T23" s="36">
        <f t="shared" si="10"/>
        <v>0</v>
      </c>
      <c r="U23" s="38">
        <f t="shared" si="3"/>
        <v>18408.3302</v>
      </c>
      <c r="V23" s="248" t="e">
        <f>#REF!-#REF!-#REF!-#REF!</f>
        <v>#REF!</v>
      </c>
      <c r="W23" s="13">
        <f>U23-'2015-1'!U23</f>
        <v>0</v>
      </c>
    </row>
    <row r="24" spans="1:23" hidden="1" x14ac:dyDescent="0.2">
      <c r="A24" s="283"/>
      <c r="B24" s="37"/>
      <c r="C24" s="46"/>
      <c r="D24" s="47"/>
      <c r="E24" s="47"/>
      <c r="F24" s="249"/>
      <c r="G24" s="48"/>
      <c r="H24" s="36"/>
      <c r="I24" s="46"/>
      <c r="J24" s="47"/>
      <c r="K24" s="47"/>
      <c r="L24" s="249"/>
      <c r="M24" s="48"/>
      <c r="N24" s="36"/>
      <c r="O24" s="46"/>
      <c r="P24" s="47"/>
      <c r="Q24" s="47"/>
      <c r="R24" s="249"/>
      <c r="S24" s="48"/>
      <c r="T24" s="36"/>
      <c r="U24" s="38"/>
      <c r="V24" s="248"/>
      <c r="W24" s="13">
        <f>U24-'2015-1'!U24</f>
        <v>0</v>
      </c>
    </row>
    <row r="25" spans="1:23" x14ac:dyDescent="0.2">
      <c r="A25" s="283"/>
      <c r="B25" s="37" t="str">
        <f>штат!A15</f>
        <v>Двіорник</v>
      </c>
      <c r="C25" s="46">
        <f>штат!B15</f>
        <v>2</v>
      </c>
      <c r="D25" s="47">
        <f>штат!C15</f>
        <v>3480</v>
      </c>
      <c r="E25" s="47">
        <f>штат!K15</f>
        <v>6065.1759999999995</v>
      </c>
      <c r="F25" s="249">
        <f>штат!L15</f>
        <v>4247.2820000000011</v>
      </c>
      <c r="G25" s="48">
        <f>штат!$M15*G$55</f>
        <v>9281.2121999999999</v>
      </c>
      <c r="H25" s="36">
        <f t="shared" ref="H25:H53" si="11">G25/C$4</f>
        <v>0.20811946021580605</v>
      </c>
      <c r="I25" s="46">
        <f t="shared" ref="I25:L26" si="12">C25</f>
        <v>2</v>
      </c>
      <c r="J25" s="47">
        <f t="shared" si="12"/>
        <v>3480</v>
      </c>
      <c r="K25" s="47">
        <f t="shared" si="12"/>
        <v>6065.1759999999995</v>
      </c>
      <c r="L25" s="249">
        <f t="shared" si="12"/>
        <v>4247.2820000000011</v>
      </c>
      <c r="M25" s="48">
        <f>штат!$M15*M$55</f>
        <v>1031.2457999999999</v>
      </c>
      <c r="N25" s="36">
        <f t="shared" ref="N25:N37" si="13">M25/I$4</f>
        <v>0.14524588732394364</v>
      </c>
      <c r="O25" s="46">
        <f t="shared" ref="O25:R26" si="14">I25</f>
        <v>2</v>
      </c>
      <c r="P25" s="47">
        <f t="shared" si="14"/>
        <v>3480</v>
      </c>
      <c r="Q25" s="47">
        <f t="shared" si="14"/>
        <v>6065.1759999999995</v>
      </c>
      <c r="R25" s="249">
        <f t="shared" si="14"/>
        <v>4247.2820000000011</v>
      </c>
      <c r="S25" s="48">
        <f>штат!$M15*S$55</f>
        <v>0</v>
      </c>
      <c r="T25" s="36">
        <f t="shared" ref="T25:T37" si="15">S25/O$4</f>
        <v>0</v>
      </c>
      <c r="U25" s="38">
        <f t="shared" ref="U25:U53" si="16">G25+M25+S25</f>
        <v>10312.458000000001</v>
      </c>
      <c r="V25" s="248" t="e">
        <f>#REF!-#REF!-#REF!-#REF!</f>
        <v>#REF!</v>
      </c>
      <c r="W25" s="13">
        <f>U25-'2015-1'!U25</f>
        <v>0</v>
      </c>
    </row>
    <row r="26" spans="1:23" x14ac:dyDescent="0.2">
      <c r="A26" s="292"/>
      <c r="B26" s="42" t="str">
        <f>штат!A16</f>
        <v>Прибиральник</v>
      </c>
      <c r="C26" s="40">
        <f>штат!B16</f>
        <v>5</v>
      </c>
      <c r="D26" s="50">
        <f>штат!C16</f>
        <v>3106</v>
      </c>
      <c r="E26" s="50">
        <f>штат!K16</f>
        <v>13533.359666666667</v>
      </c>
      <c r="F26" s="251">
        <f>штат!L16</f>
        <v>9477.0530833333341</v>
      </c>
      <c r="G26" s="41">
        <f>штат!$M16*G$55</f>
        <v>20709.371475000004</v>
      </c>
      <c r="H26" s="51">
        <f t="shared" si="11"/>
        <v>0.464381496717165</v>
      </c>
      <c r="I26" s="40">
        <f t="shared" si="12"/>
        <v>5</v>
      </c>
      <c r="J26" s="50">
        <f t="shared" si="12"/>
        <v>3106</v>
      </c>
      <c r="K26" s="50">
        <f t="shared" si="12"/>
        <v>13533.359666666667</v>
      </c>
      <c r="L26" s="251">
        <f t="shared" si="12"/>
        <v>9477.0530833333341</v>
      </c>
      <c r="M26" s="41">
        <f>штат!$M16*M$55</f>
        <v>2301.0412749999996</v>
      </c>
      <c r="N26" s="51">
        <f t="shared" si="13"/>
        <v>0.32409032042253516</v>
      </c>
      <c r="O26" s="40">
        <f t="shared" si="14"/>
        <v>5</v>
      </c>
      <c r="P26" s="50">
        <f t="shared" si="14"/>
        <v>3106</v>
      </c>
      <c r="Q26" s="50">
        <f t="shared" si="14"/>
        <v>13533.359666666667</v>
      </c>
      <c r="R26" s="251">
        <f t="shared" si="14"/>
        <v>9477.0530833333341</v>
      </c>
      <c r="S26" s="41">
        <f>штат!$M16*S$55</f>
        <v>0</v>
      </c>
      <c r="T26" s="51">
        <f t="shared" si="15"/>
        <v>0</v>
      </c>
      <c r="U26" s="465">
        <f t="shared" si="16"/>
        <v>23010.412750000003</v>
      </c>
      <c r="V26" s="248" t="e">
        <f>#REF!-#REF!-#REF!-#REF!</f>
        <v>#REF!</v>
      </c>
      <c r="W26" s="13">
        <f>U26-'2015-1'!U26</f>
        <v>0</v>
      </c>
    </row>
    <row r="27" spans="1:23" s="1" customFormat="1" x14ac:dyDescent="0.2">
      <c r="A27" s="291">
        <v>2</v>
      </c>
      <c r="B27" s="55" t="s">
        <v>244</v>
      </c>
      <c r="C27" s="43"/>
      <c r="D27" s="43"/>
      <c r="E27" s="44"/>
      <c r="F27" s="55"/>
      <c r="G27" s="45"/>
      <c r="H27" s="36">
        <f t="shared" si="11"/>
        <v>0</v>
      </c>
      <c r="I27" s="43"/>
      <c r="J27" s="43"/>
      <c r="K27" s="44"/>
      <c r="L27" s="55"/>
      <c r="M27" s="45"/>
      <c r="N27" s="36">
        <f t="shared" si="13"/>
        <v>0</v>
      </c>
      <c r="O27" s="43"/>
      <c r="P27" s="43"/>
      <c r="Q27" s="44"/>
      <c r="R27" s="55"/>
      <c r="S27" s="45"/>
      <c r="T27" s="36">
        <f t="shared" si="15"/>
        <v>0</v>
      </c>
      <c r="U27" s="461">
        <f t="shared" si="16"/>
        <v>0</v>
      </c>
      <c r="V27" s="248" t="e">
        <f>#REF!-#REF!-#REF!-#REF!</f>
        <v>#REF!</v>
      </c>
      <c r="W27" s="13">
        <f>U27-'2015-1'!U27</f>
        <v>0</v>
      </c>
    </row>
    <row r="28" spans="1:23" x14ac:dyDescent="0.2">
      <c r="A28" s="292"/>
      <c r="B28" s="42" t="s">
        <v>247</v>
      </c>
      <c r="C28" s="40"/>
      <c r="D28" s="40"/>
      <c r="E28" s="40"/>
      <c r="F28" s="42"/>
      <c r="G28" s="41">
        <v>0</v>
      </c>
      <c r="H28" s="51">
        <f t="shared" si="11"/>
        <v>0</v>
      </c>
      <c r="I28" s="40"/>
      <c r="J28" s="40"/>
      <c r="K28" s="40"/>
      <c r="L28" s="42"/>
      <c r="M28" s="41">
        <v>23000</v>
      </c>
      <c r="N28" s="51">
        <f t="shared" si="13"/>
        <v>3.23943661971831</v>
      </c>
      <c r="O28" s="40"/>
      <c r="P28" s="40"/>
      <c r="Q28" s="40"/>
      <c r="R28" s="42"/>
      <c r="S28" s="41">
        <v>27000</v>
      </c>
      <c r="T28" s="51">
        <f t="shared" si="15"/>
        <v>278.35051546391753</v>
      </c>
      <c r="U28" s="465">
        <f t="shared" si="16"/>
        <v>50000</v>
      </c>
      <c r="V28" s="248" t="e">
        <f>#REF!-#REF!-#REF!-#REF!</f>
        <v>#REF!</v>
      </c>
      <c r="W28" s="13">
        <f>U28-'2015-1'!U28</f>
        <v>0</v>
      </c>
    </row>
    <row r="29" spans="1:23" s="1" customFormat="1" hidden="1" x14ac:dyDescent="0.2">
      <c r="A29" s="293">
        <v>3</v>
      </c>
      <c r="B29" s="56" t="s">
        <v>347</v>
      </c>
      <c r="C29" s="11"/>
      <c r="D29" s="11"/>
      <c r="E29" s="11"/>
      <c r="F29" s="56"/>
      <c r="G29" s="52"/>
      <c r="H29" s="54">
        <f t="shared" si="11"/>
        <v>0</v>
      </c>
      <c r="I29" s="11"/>
      <c r="J29" s="11"/>
      <c r="K29" s="11"/>
      <c r="L29" s="56"/>
      <c r="M29" s="52"/>
      <c r="N29" s="54">
        <f t="shared" si="13"/>
        <v>0</v>
      </c>
      <c r="O29" s="11"/>
      <c r="P29" s="11"/>
      <c r="Q29" s="11"/>
      <c r="R29" s="56"/>
      <c r="S29" s="52"/>
      <c r="T29" s="54">
        <f t="shared" si="15"/>
        <v>0</v>
      </c>
      <c r="U29" s="466">
        <f t="shared" si="16"/>
        <v>0</v>
      </c>
      <c r="V29" s="248" t="e">
        <f>#REF!-#REF!-#REF!-#REF!</f>
        <v>#REF!</v>
      </c>
      <c r="W29" s="13">
        <f>U29-'2015-1'!U29</f>
        <v>0</v>
      </c>
    </row>
    <row r="30" spans="1:23" s="1" customFormat="1" x14ac:dyDescent="0.2">
      <c r="A30" s="291">
        <v>3</v>
      </c>
      <c r="B30" s="55" t="s">
        <v>353</v>
      </c>
      <c r="C30" s="43"/>
      <c r="D30" s="43"/>
      <c r="E30" s="43"/>
      <c r="F30" s="55"/>
      <c r="G30" s="45"/>
      <c r="H30" s="240">
        <f t="shared" si="11"/>
        <v>0</v>
      </c>
      <c r="I30" s="43"/>
      <c r="J30" s="43"/>
      <c r="K30" s="43"/>
      <c r="L30" s="55"/>
      <c r="M30" s="45"/>
      <c r="N30" s="240">
        <f t="shared" si="13"/>
        <v>0</v>
      </c>
      <c r="O30" s="43"/>
      <c r="P30" s="43"/>
      <c r="Q30" s="43"/>
      <c r="R30" s="55"/>
      <c r="S30" s="45"/>
      <c r="T30" s="240">
        <f t="shared" si="15"/>
        <v>0</v>
      </c>
      <c r="U30" s="461">
        <f t="shared" si="16"/>
        <v>0</v>
      </c>
      <c r="V30" s="248" t="e">
        <f>#REF!-#REF!-#REF!-#REF!</f>
        <v>#REF!</v>
      </c>
      <c r="W30" s="13">
        <f>U30-'2015-1'!U30</f>
        <v>0</v>
      </c>
    </row>
    <row r="31" spans="1:23" s="14" customFormat="1" x14ac:dyDescent="0.2">
      <c r="A31" s="294"/>
      <c r="B31" s="57" t="s">
        <v>254</v>
      </c>
      <c r="C31" s="412">
        <f>2400/12</f>
        <v>200</v>
      </c>
      <c r="D31" s="413">
        <v>65.05</v>
      </c>
      <c r="E31" s="413"/>
      <c r="F31" s="411"/>
      <c r="G31" s="412">
        <f>C31*D31</f>
        <v>13010</v>
      </c>
      <c r="H31" s="276">
        <f t="shared" si="11"/>
        <v>0.29173281669043583</v>
      </c>
      <c r="I31" s="49"/>
      <c r="J31" s="53"/>
      <c r="K31" s="53"/>
      <c r="L31" s="57"/>
      <c r="M31" s="49"/>
      <c r="N31" s="36">
        <f t="shared" si="13"/>
        <v>0</v>
      </c>
      <c r="O31" s="49"/>
      <c r="P31" s="53"/>
      <c r="Q31" s="53"/>
      <c r="R31" s="57"/>
      <c r="S31" s="49"/>
      <c r="T31" s="36">
        <f t="shared" si="15"/>
        <v>0</v>
      </c>
      <c r="U31" s="39">
        <f t="shared" si="16"/>
        <v>13010</v>
      </c>
      <c r="V31" s="248" t="e">
        <f>#REF!-#REF!-#REF!-#REF!</f>
        <v>#REF!</v>
      </c>
      <c r="W31" s="13">
        <f>U31-'2015-1'!U31</f>
        <v>0</v>
      </c>
    </row>
    <row r="32" spans="1:23" s="14" customFormat="1" x14ac:dyDescent="0.2">
      <c r="A32" s="294"/>
      <c r="B32" s="57" t="s">
        <v>253</v>
      </c>
      <c r="C32" s="53"/>
      <c r="D32" s="53"/>
      <c r="E32" s="53"/>
      <c r="F32" s="57"/>
      <c r="G32" s="49">
        <f>630*16+1500</f>
        <v>11580</v>
      </c>
      <c r="H32" s="276">
        <f t="shared" si="11"/>
        <v>0.25966687296504587</v>
      </c>
      <c r="I32" s="53"/>
      <c r="J32" s="53"/>
      <c r="K32" s="53"/>
      <c r="L32" s="57"/>
      <c r="M32" s="49"/>
      <c r="N32" s="36">
        <f t="shared" si="13"/>
        <v>0</v>
      </c>
      <c r="O32" s="53"/>
      <c r="P32" s="53"/>
      <c r="Q32" s="53"/>
      <c r="R32" s="57"/>
      <c r="S32" s="49"/>
      <c r="T32" s="36">
        <f t="shared" si="15"/>
        <v>0</v>
      </c>
      <c r="U32" s="39">
        <f t="shared" si="16"/>
        <v>11580</v>
      </c>
      <c r="V32" s="248" t="e">
        <f>#REF!-#REF!-#REF!-#REF!</f>
        <v>#REF!</v>
      </c>
      <c r="W32" s="13">
        <f>U32-'2015-1'!U32</f>
        <v>0</v>
      </c>
    </row>
    <row r="33" spans="1:23" s="14" customFormat="1" x14ac:dyDescent="0.2">
      <c r="A33" s="294"/>
      <c r="B33" s="57" t="s">
        <v>256</v>
      </c>
      <c r="C33" s="49">
        <f>(11+9)*8*24*365*0.5/12/4.2</f>
        <v>13904.761904761905</v>
      </c>
      <c r="D33" s="252">
        <f>$D$6</f>
        <v>0.78900000000000003</v>
      </c>
      <c r="E33" s="46"/>
      <c r="F33" s="37"/>
      <c r="G33" s="247">
        <f>C33*D33</f>
        <v>10970.857142857143</v>
      </c>
      <c r="H33" s="276">
        <f t="shared" si="11"/>
        <v>0.24600761381968497</v>
      </c>
      <c r="I33" s="49"/>
      <c r="J33" s="53"/>
      <c r="K33" s="53"/>
      <c r="L33" s="57"/>
      <c r="M33" s="49"/>
      <c r="N33" s="36">
        <f t="shared" si="13"/>
        <v>0</v>
      </c>
      <c r="O33" s="49"/>
      <c r="P33" s="53"/>
      <c r="Q33" s="53"/>
      <c r="R33" s="57"/>
      <c r="S33" s="49"/>
      <c r="T33" s="36">
        <f t="shared" si="15"/>
        <v>0</v>
      </c>
      <c r="U33" s="39">
        <f t="shared" si="16"/>
        <v>10970.857142857143</v>
      </c>
      <c r="V33" s="248" t="e">
        <f>#REF!-#REF!-#REF!-#REF!</f>
        <v>#REF!</v>
      </c>
      <c r="W33" s="13">
        <f>U33-'2015-1'!U33</f>
        <v>2210.8571428571431</v>
      </c>
    </row>
    <row r="34" spans="1:23" s="14" customFormat="1" x14ac:dyDescent="0.2">
      <c r="A34" s="294"/>
      <c r="B34" s="57" t="s">
        <v>255</v>
      </c>
      <c r="C34" s="49">
        <f>(32120+168192)/12/4.2</f>
        <v>3974.4444444444443</v>
      </c>
      <c r="D34" s="252">
        <f>$D$6</f>
        <v>0.78900000000000003</v>
      </c>
      <c r="E34" s="46"/>
      <c r="F34" s="37"/>
      <c r="G34" s="247">
        <f>C34*D34</f>
        <v>3135.8366666666666</v>
      </c>
      <c r="H34" s="276">
        <f t="shared" si="11"/>
        <v>7.0317176283459959E-2</v>
      </c>
      <c r="I34" s="49"/>
      <c r="J34" s="53"/>
      <c r="K34" s="53"/>
      <c r="L34" s="57"/>
      <c r="M34" s="49"/>
      <c r="N34" s="36">
        <f t="shared" si="13"/>
        <v>0</v>
      </c>
      <c r="O34" s="412">
        <f>(168192)/12/2.2</f>
        <v>6370.9090909090901</v>
      </c>
      <c r="P34" s="371">
        <f>D34</f>
        <v>0.78900000000000003</v>
      </c>
      <c r="Q34" s="53"/>
      <c r="R34" s="57"/>
      <c r="S34" s="247">
        <f>O34*P34</f>
        <v>5026.6472727272721</v>
      </c>
      <c r="T34" s="276">
        <f t="shared" si="15"/>
        <v>51.821105904404867</v>
      </c>
      <c r="U34" s="39">
        <f t="shared" si="16"/>
        <v>8162.4839393939383</v>
      </c>
      <c r="V34" s="248" t="e">
        <f>#REF!-#REF!-#REF!-#REF!</f>
        <v>#REF!</v>
      </c>
      <c r="W34" s="13">
        <f>U34-'2015-1'!U34</f>
        <v>1644.9112121212111</v>
      </c>
    </row>
    <row r="35" spans="1:23" x14ac:dyDescent="0.2">
      <c r="A35" s="295"/>
      <c r="B35" s="37" t="s">
        <v>329</v>
      </c>
      <c r="C35" s="46"/>
      <c r="D35" s="46"/>
      <c r="E35" s="46"/>
      <c r="F35" s="249"/>
      <c r="G35" s="48">
        <f>1500*4/12</f>
        <v>500</v>
      </c>
      <c r="H35" s="36">
        <f t="shared" si="11"/>
        <v>1.1211868435451031E-2</v>
      </c>
      <c r="I35" s="46"/>
      <c r="J35" s="46"/>
      <c r="K35" s="53"/>
      <c r="L35" s="57"/>
      <c r="M35" s="49"/>
      <c r="N35" s="36">
        <f t="shared" si="13"/>
        <v>0</v>
      </c>
      <c r="O35" s="49"/>
      <c r="P35" s="53"/>
      <c r="Q35" s="53"/>
      <c r="R35" s="57"/>
      <c r="S35" s="48"/>
      <c r="T35" s="36">
        <f t="shared" si="15"/>
        <v>0</v>
      </c>
      <c r="U35" s="39">
        <f t="shared" si="16"/>
        <v>500</v>
      </c>
      <c r="W35" s="13">
        <f>U35-'2015-1'!U35</f>
        <v>0</v>
      </c>
    </row>
    <row r="36" spans="1:23" x14ac:dyDescent="0.2">
      <c r="A36" s="295"/>
      <c r="B36" s="262" t="s">
        <v>332</v>
      </c>
      <c r="C36" s="46"/>
      <c r="D36" s="46"/>
      <c r="E36" s="46"/>
      <c r="F36" s="249"/>
      <c r="G36" s="48">
        <f>20000/12</f>
        <v>1666.6666666666667</v>
      </c>
      <c r="H36" s="36">
        <f t="shared" si="11"/>
        <v>3.7372894784836776E-2</v>
      </c>
      <c r="I36" s="46"/>
      <c r="J36" s="46"/>
      <c r="K36" s="53"/>
      <c r="L36" s="57"/>
      <c r="M36" s="49"/>
      <c r="N36" s="36">
        <f t="shared" si="13"/>
        <v>0</v>
      </c>
      <c r="O36" s="49"/>
      <c r="P36" s="53"/>
      <c r="Q36" s="53"/>
      <c r="R36" s="57"/>
      <c r="S36" s="48"/>
      <c r="T36" s="36">
        <f t="shared" si="15"/>
        <v>0</v>
      </c>
      <c r="U36" s="39">
        <f t="shared" si="16"/>
        <v>1666.6666666666667</v>
      </c>
      <c r="W36" s="13">
        <f>U36-'2015-1'!U36</f>
        <v>0</v>
      </c>
    </row>
    <row r="37" spans="1:23" x14ac:dyDescent="0.2">
      <c r="A37" s="283"/>
      <c r="B37" s="37" t="s">
        <v>346</v>
      </c>
      <c r="C37" s="46">
        <v>183.3</v>
      </c>
      <c r="D37" s="253">
        <f>3.576</f>
        <v>3.5760000000000001</v>
      </c>
      <c r="E37" s="46"/>
      <c r="F37" s="37"/>
      <c r="G37" s="48">
        <f>D37*C37</f>
        <v>655.48080000000004</v>
      </c>
      <c r="H37" s="36">
        <f t="shared" si="11"/>
        <v>1.4698328983128383E-2</v>
      </c>
      <c r="I37" s="46"/>
      <c r="J37" s="46"/>
      <c r="K37" s="53"/>
      <c r="L37" s="57"/>
      <c r="M37" s="49"/>
      <c r="N37" s="36">
        <f t="shared" si="13"/>
        <v>0</v>
      </c>
      <c r="O37" s="49"/>
      <c r="P37" s="53"/>
      <c r="Q37" s="53"/>
      <c r="R37" s="57"/>
      <c r="S37" s="48"/>
      <c r="T37" s="36">
        <f t="shared" si="15"/>
        <v>0</v>
      </c>
      <c r="U37" s="39">
        <f t="shared" si="16"/>
        <v>655.48080000000004</v>
      </c>
      <c r="V37" s="248" t="e">
        <f>#REF!-#REF!-#REF!-#REF!</f>
        <v>#REF!</v>
      </c>
      <c r="W37" s="13">
        <f>U37-'2015-1'!U37</f>
        <v>0</v>
      </c>
    </row>
    <row r="38" spans="1:23" x14ac:dyDescent="0.2">
      <c r="A38" s="283"/>
      <c r="B38" s="37" t="s">
        <v>336</v>
      </c>
      <c r="C38" s="46">
        <v>300</v>
      </c>
      <c r="D38" s="254">
        <v>0.38</v>
      </c>
      <c r="E38" s="46"/>
      <c r="F38" s="37"/>
      <c r="G38" s="48">
        <f>D38*C38</f>
        <v>114</v>
      </c>
      <c r="H38" s="36">
        <f t="shared" si="11"/>
        <v>2.5563060032828353E-3</v>
      </c>
      <c r="I38" s="46"/>
      <c r="J38" s="46"/>
      <c r="K38" s="46"/>
      <c r="L38" s="38"/>
      <c r="M38" s="48"/>
      <c r="N38" s="36"/>
      <c r="O38" s="46"/>
      <c r="P38" s="46"/>
      <c r="Q38" s="46"/>
      <c r="R38" s="38"/>
      <c r="S38" s="48"/>
      <c r="T38" s="36"/>
      <c r="U38" s="38">
        <f t="shared" si="16"/>
        <v>114</v>
      </c>
      <c r="V38" s="248" t="e">
        <f>#REF!-#REF!-#REF!-#REF!</f>
        <v>#REF!</v>
      </c>
      <c r="W38" s="13">
        <f>U38-'2015-1'!U38</f>
        <v>0</v>
      </c>
    </row>
    <row r="39" spans="1:23" x14ac:dyDescent="0.2">
      <c r="A39" s="283"/>
      <c r="B39" s="57" t="s">
        <v>257</v>
      </c>
      <c r="C39" s="46"/>
      <c r="D39" s="46"/>
      <c r="E39" s="46"/>
      <c r="F39" s="37"/>
      <c r="G39" s="48">
        <v>8000</v>
      </c>
      <c r="H39" s="36">
        <f t="shared" si="11"/>
        <v>0.1793898949672165</v>
      </c>
      <c r="I39" s="46"/>
      <c r="J39" s="46"/>
      <c r="K39" s="46"/>
      <c r="L39" s="37"/>
      <c r="M39" s="48"/>
      <c r="N39" s="36">
        <f t="shared" ref="N39:N53" si="17">M39/I$4</f>
        <v>0</v>
      </c>
      <c r="O39" s="46"/>
      <c r="P39" s="46"/>
      <c r="Q39" s="46"/>
      <c r="R39" s="37"/>
      <c r="S39" s="48"/>
      <c r="T39" s="36">
        <f t="shared" ref="T39:T53" si="18">S39/O$4</f>
        <v>0</v>
      </c>
      <c r="U39" s="38">
        <f t="shared" si="16"/>
        <v>8000</v>
      </c>
      <c r="V39" s="248" t="e">
        <f>#REF!-#REF!-#REF!-#REF!</f>
        <v>#REF!</v>
      </c>
      <c r="W39" s="13">
        <f>U39-'2015-1'!U39</f>
        <v>0</v>
      </c>
    </row>
    <row r="40" spans="1:23" x14ac:dyDescent="0.2">
      <c r="A40" s="283"/>
      <c r="B40" s="37" t="s">
        <v>337</v>
      </c>
      <c r="C40" s="46"/>
      <c r="D40" s="46"/>
      <c r="E40" s="46"/>
      <c r="F40" s="37"/>
      <c r="G40" s="48">
        <v>1000</v>
      </c>
      <c r="H40" s="36">
        <f t="shared" si="11"/>
        <v>2.2423736870902062E-2</v>
      </c>
      <c r="I40" s="46"/>
      <c r="J40" s="46"/>
      <c r="K40" s="46"/>
      <c r="L40" s="37"/>
      <c r="M40" s="48"/>
      <c r="N40" s="36">
        <f t="shared" si="17"/>
        <v>0</v>
      </c>
      <c r="O40" s="46"/>
      <c r="P40" s="46"/>
      <c r="Q40" s="46"/>
      <c r="R40" s="37"/>
      <c r="S40" s="48"/>
      <c r="T40" s="36">
        <f t="shared" si="18"/>
        <v>0</v>
      </c>
      <c r="U40" s="38">
        <f t="shared" si="16"/>
        <v>1000</v>
      </c>
      <c r="V40" s="248" t="e">
        <f>#REF!-#REF!-#REF!-#REF!</f>
        <v>#REF!</v>
      </c>
      <c r="W40" s="13">
        <f>U40-'2015-1'!U40</f>
        <v>0</v>
      </c>
    </row>
    <row r="41" spans="1:23" x14ac:dyDescent="0.2">
      <c r="A41" s="283"/>
      <c r="B41" s="37" t="s">
        <v>338</v>
      </c>
      <c r="C41" s="46"/>
      <c r="D41" s="46"/>
      <c r="E41" s="46"/>
      <c r="F41" s="37"/>
      <c r="G41" s="48">
        <v>129</v>
      </c>
      <c r="H41" s="36">
        <f t="shared" si="11"/>
        <v>2.8926620563463662E-3</v>
      </c>
      <c r="I41" s="46"/>
      <c r="J41" s="46"/>
      <c r="K41" s="46"/>
      <c r="L41" s="37"/>
      <c r="M41" s="48"/>
      <c r="N41" s="36">
        <f t="shared" si="17"/>
        <v>0</v>
      </c>
      <c r="O41" s="46"/>
      <c r="P41" s="46"/>
      <c r="Q41" s="46"/>
      <c r="R41" s="37"/>
      <c r="S41" s="48"/>
      <c r="T41" s="36">
        <f t="shared" si="18"/>
        <v>0</v>
      </c>
      <c r="U41" s="38">
        <f t="shared" si="16"/>
        <v>129</v>
      </c>
      <c r="V41" s="248" t="e">
        <f>#REF!-#REF!-#REF!-#REF!</f>
        <v>#REF!</v>
      </c>
      <c r="W41" s="13">
        <f>U41-'2015-1'!U41</f>
        <v>0</v>
      </c>
    </row>
    <row r="42" spans="1:23" x14ac:dyDescent="0.2">
      <c r="A42" s="295"/>
      <c r="B42" s="37" t="s">
        <v>339</v>
      </c>
      <c r="C42" s="46"/>
      <c r="D42" s="46"/>
      <c r="E42" s="46"/>
      <c r="F42" s="37"/>
      <c r="G42" s="48">
        <v>550</v>
      </c>
      <c r="H42" s="36">
        <f t="shared" si="11"/>
        <v>1.2333055278996134E-2</v>
      </c>
      <c r="I42" s="46"/>
      <c r="J42" s="46"/>
      <c r="K42" s="46"/>
      <c r="L42" s="37"/>
      <c r="M42" s="48"/>
      <c r="N42" s="36">
        <f t="shared" si="17"/>
        <v>0</v>
      </c>
      <c r="O42" s="46"/>
      <c r="P42" s="46"/>
      <c r="Q42" s="46"/>
      <c r="R42" s="37"/>
      <c r="S42" s="48"/>
      <c r="T42" s="36">
        <f t="shared" si="18"/>
        <v>0</v>
      </c>
      <c r="U42" s="38">
        <f t="shared" si="16"/>
        <v>550</v>
      </c>
      <c r="V42" s="248" t="e">
        <f>#REF!-#REF!-#REF!-#REF!</f>
        <v>#REF!</v>
      </c>
      <c r="W42" s="13">
        <f>U42-'2015-1'!U42</f>
        <v>0</v>
      </c>
    </row>
    <row r="43" spans="1:23" x14ac:dyDescent="0.2">
      <c r="A43" s="295"/>
      <c r="B43" s="37" t="s">
        <v>340</v>
      </c>
      <c r="C43" s="46"/>
      <c r="D43" s="46"/>
      <c r="E43" s="46"/>
      <c r="F43" s="37"/>
      <c r="G43" s="48">
        <v>50</v>
      </c>
      <c r="H43" s="36">
        <f t="shared" si="11"/>
        <v>1.1211868435451031E-3</v>
      </c>
      <c r="I43" s="46"/>
      <c r="J43" s="46"/>
      <c r="K43" s="46"/>
      <c r="L43" s="37"/>
      <c r="M43" s="48"/>
      <c r="N43" s="36">
        <f t="shared" si="17"/>
        <v>0</v>
      </c>
      <c r="O43" s="46"/>
      <c r="P43" s="46"/>
      <c r="Q43" s="46"/>
      <c r="R43" s="37"/>
      <c r="S43" s="48"/>
      <c r="T43" s="36">
        <f t="shared" si="18"/>
        <v>0</v>
      </c>
      <c r="U43" s="38">
        <f t="shared" si="16"/>
        <v>50</v>
      </c>
      <c r="V43" s="248" t="e">
        <f>#REF!-#REF!-#REF!-#REF!</f>
        <v>#REF!</v>
      </c>
      <c r="W43" s="13">
        <f>U43-'2015-1'!U43</f>
        <v>0</v>
      </c>
    </row>
    <row r="44" spans="1:23" x14ac:dyDescent="0.2">
      <c r="A44" s="295"/>
      <c r="B44" s="37" t="s">
        <v>341</v>
      </c>
      <c r="C44" s="46"/>
      <c r="D44" s="46"/>
      <c r="E44" s="46"/>
      <c r="F44" s="37"/>
      <c r="G44" s="48">
        <v>353.35078424244398</v>
      </c>
      <c r="H44" s="36">
        <f t="shared" si="11"/>
        <v>7.9234450089794503E-3</v>
      </c>
      <c r="I44" s="46"/>
      <c r="J44" s="46"/>
      <c r="K44" s="46"/>
      <c r="L44" s="37"/>
      <c r="M44" s="48"/>
      <c r="N44" s="36">
        <f t="shared" si="17"/>
        <v>0</v>
      </c>
      <c r="O44" s="46"/>
      <c r="P44" s="46"/>
      <c r="Q44" s="46"/>
      <c r="R44" s="37"/>
      <c r="S44" s="48"/>
      <c r="T44" s="36">
        <f t="shared" si="18"/>
        <v>0</v>
      </c>
      <c r="U44" s="38">
        <f t="shared" si="16"/>
        <v>353.35078424244398</v>
      </c>
      <c r="V44" s="248" t="e">
        <f>#REF!-#REF!-#REF!-#REF!</f>
        <v>#REF!</v>
      </c>
      <c r="W44" s="13">
        <f>U44-'2015-1'!U44</f>
        <v>0</v>
      </c>
    </row>
    <row r="45" spans="1:23" x14ac:dyDescent="0.2">
      <c r="A45" s="295"/>
      <c r="B45" s="37" t="s">
        <v>342</v>
      </c>
      <c r="C45" s="46"/>
      <c r="D45" s="46"/>
      <c r="E45" s="46"/>
      <c r="F45" s="37"/>
      <c r="G45" s="48">
        <v>1150</v>
      </c>
      <c r="H45" s="36">
        <f t="shared" si="11"/>
        <v>2.5787297401537373E-2</v>
      </c>
      <c r="I45" s="46"/>
      <c r="J45" s="46"/>
      <c r="K45" s="46"/>
      <c r="L45" s="37"/>
      <c r="M45" s="48"/>
      <c r="N45" s="36">
        <f t="shared" si="17"/>
        <v>0</v>
      </c>
      <c r="O45" s="46"/>
      <c r="P45" s="46"/>
      <c r="Q45" s="46"/>
      <c r="R45" s="37"/>
      <c r="S45" s="48"/>
      <c r="T45" s="36">
        <f t="shared" si="18"/>
        <v>0</v>
      </c>
      <c r="U45" s="38">
        <f t="shared" si="16"/>
        <v>1150</v>
      </c>
      <c r="V45" s="248" t="e">
        <f>#REF!-#REF!-#REF!-#REF!</f>
        <v>#REF!</v>
      </c>
      <c r="W45" s="13">
        <f>U45-'2015-1'!U45</f>
        <v>0</v>
      </c>
    </row>
    <row r="46" spans="1:23" x14ac:dyDescent="0.2">
      <c r="A46" s="295"/>
      <c r="B46" s="37" t="s">
        <v>343</v>
      </c>
      <c r="C46" s="46"/>
      <c r="D46" s="46"/>
      <c r="E46" s="46"/>
      <c r="F46" s="37"/>
      <c r="G46" s="48">
        <v>5000</v>
      </c>
      <c r="H46" s="35">
        <f t="shared" si="11"/>
        <v>0.11211868435451032</v>
      </c>
      <c r="I46" s="46"/>
      <c r="J46" s="46"/>
      <c r="K46" s="46"/>
      <c r="L46" s="37"/>
      <c r="M46" s="48"/>
      <c r="N46" s="35">
        <f t="shared" si="17"/>
        <v>0</v>
      </c>
      <c r="O46" s="46"/>
      <c r="P46" s="46"/>
      <c r="Q46" s="46"/>
      <c r="R46" s="37"/>
      <c r="S46" s="48"/>
      <c r="T46" s="35">
        <f t="shared" si="18"/>
        <v>0</v>
      </c>
      <c r="U46" s="38">
        <f t="shared" si="16"/>
        <v>5000</v>
      </c>
      <c r="V46" s="248" t="e">
        <f>#REF!-#REF!-#REF!-#REF!</f>
        <v>#REF!</v>
      </c>
      <c r="W46" s="13">
        <f>U46-'2015-1'!U46</f>
        <v>0</v>
      </c>
    </row>
    <row r="47" spans="1:23" x14ac:dyDescent="0.2">
      <c r="A47" s="295"/>
      <c r="B47" s="37" t="s">
        <v>344</v>
      </c>
      <c r="C47" s="46"/>
      <c r="D47" s="46"/>
      <c r="E47" s="46"/>
      <c r="F47" s="37"/>
      <c r="G47" s="48">
        <v>500</v>
      </c>
      <c r="H47" s="35">
        <f t="shared" si="11"/>
        <v>1.1211868435451031E-2</v>
      </c>
      <c r="I47" s="46"/>
      <c r="J47" s="46"/>
      <c r="K47" s="46"/>
      <c r="L47" s="37"/>
      <c r="M47" s="48"/>
      <c r="N47" s="35">
        <f t="shared" si="17"/>
        <v>0</v>
      </c>
      <c r="O47" s="46"/>
      <c r="P47" s="46"/>
      <c r="Q47" s="46"/>
      <c r="R47" s="37"/>
      <c r="S47" s="48"/>
      <c r="T47" s="35">
        <f t="shared" si="18"/>
        <v>0</v>
      </c>
      <c r="U47" s="38">
        <f t="shared" si="16"/>
        <v>500</v>
      </c>
      <c r="V47" s="248" t="e">
        <f>#REF!-#REF!-#REF!-#REF!</f>
        <v>#REF!</v>
      </c>
      <c r="W47" s="13">
        <f>U47-'2015-1'!U47</f>
        <v>0</v>
      </c>
    </row>
    <row r="48" spans="1:23" x14ac:dyDescent="0.2">
      <c r="A48" s="296"/>
      <c r="B48" s="42" t="s">
        <v>345</v>
      </c>
      <c r="C48" s="40"/>
      <c r="D48" s="40"/>
      <c r="E48" s="40"/>
      <c r="F48" s="42"/>
      <c r="G48" s="41">
        <v>2500</v>
      </c>
      <c r="H48" s="241">
        <f t="shared" si="11"/>
        <v>5.605934217725516E-2</v>
      </c>
      <c r="I48" s="40"/>
      <c r="J48" s="40"/>
      <c r="K48" s="40"/>
      <c r="L48" s="42"/>
      <c r="M48" s="41"/>
      <c r="N48" s="241">
        <f t="shared" si="17"/>
        <v>0</v>
      </c>
      <c r="O48" s="40"/>
      <c r="P48" s="40"/>
      <c r="Q48" s="40"/>
      <c r="R48" s="42"/>
      <c r="S48" s="41"/>
      <c r="T48" s="241">
        <f t="shared" si="18"/>
        <v>0</v>
      </c>
      <c r="U48" s="465">
        <f t="shared" si="16"/>
        <v>2500</v>
      </c>
      <c r="V48" s="248" t="e">
        <f>#REF!-#REF!-#REF!-#REF!</f>
        <v>#REF!</v>
      </c>
      <c r="W48" s="13">
        <f>U48-'2015-1'!U48</f>
        <v>0</v>
      </c>
    </row>
    <row r="49" spans="1:23" s="1" customFormat="1" x14ac:dyDescent="0.2">
      <c r="A49" s="291">
        <v>4</v>
      </c>
      <c r="B49" s="55" t="s">
        <v>361</v>
      </c>
      <c r="C49" s="43"/>
      <c r="D49" s="43"/>
      <c r="E49" s="43"/>
      <c r="F49" s="55"/>
      <c r="G49" s="45"/>
      <c r="H49" s="240">
        <f t="shared" si="11"/>
        <v>0</v>
      </c>
      <c r="I49" s="43"/>
      <c r="J49" s="43"/>
      <c r="K49" s="43"/>
      <c r="L49" s="55"/>
      <c r="M49" s="45"/>
      <c r="N49" s="240">
        <f t="shared" si="17"/>
        <v>0</v>
      </c>
      <c r="O49" s="43"/>
      <c r="P49" s="43"/>
      <c r="Q49" s="43"/>
      <c r="R49" s="55"/>
      <c r="S49" s="45"/>
      <c r="T49" s="240">
        <f t="shared" si="18"/>
        <v>0</v>
      </c>
      <c r="U49" s="461">
        <f t="shared" si="16"/>
        <v>0</v>
      </c>
      <c r="V49" s="248" t="e">
        <f>#REF!-#REF!-#REF!-#REF!</f>
        <v>#REF!</v>
      </c>
      <c r="W49" s="13">
        <f>U49-'2015-1'!U49</f>
        <v>0</v>
      </c>
    </row>
    <row r="50" spans="1:23" x14ac:dyDescent="0.2">
      <c r="A50" s="295"/>
      <c r="B50" s="37" t="s">
        <v>348</v>
      </c>
      <c r="C50" s="46"/>
      <c r="D50" s="46"/>
      <c r="E50" s="46"/>
      <c r="F50" s="37"/>
      <c r="G50" s="48">
        <f>19600+4500</f>
        <v>24100</v>
      </c>
      <c r="H50" s="35">
        <f t="shared" si="11"/>
        <v>0.54041205858873975</v>
      </c>
      <c r="I50" s="46"/>
      <c r="J50" s="46"/>
      <c r="K50" s="46"/>
      <c r="L50" s="37"/>
      <c r="M50" s="48">
        <f>M$4*0.0945</f>
        <v>5770.17</v>
      </c>
      <c r="N50" s="35">
        <f t="shared" si="17"/>
        <v>0.81269999999999998</v>
      </c>
      <c r="O50" s="46"/>
      <c r="P50" s="46"/>
      <c r="Q50" s="46"/>
      <c r="R50" s="37"/>
      <c r="S50" s="48">
        <f>(S$4+S9)*0.0945</f>
        <v>4763.3670000000002</v>
      </c>
      <c r="T50" s="35">
        <f t="shared" si="18"/>
        <v>49.106876288659798</v>
      </c>
      <c r="U50" s="38">
        <f t="shared" si="16"/>
        <v>34633.536999999997</v>
      </c>
      <c r="V50" s="248" t="e">
        <f>#REF!-#REF!-#REF!-#REF!</f>
        <v>#REF!</v>
      </c>
      <c r="W50" s="13">
        <f>U50-'2015-1'!U50</f>
        <v>225.85499999999593</v>
      </c>
    </row>
    <row r="51" spans="1:23" x14ac:dyDescent="0.2">
      <c r="A51" s="295"/>
      <c r="B51" s="37" t="s">
        <v>349</v>
      </c>
      <c r="C51" s="46"/>
      <c r="D51" s="46"/>
      <c r="E51" s="46"/>
      <c r="F51" s="37"/>
      <c r="G51" s="48">
        <f>G$4*0.1</f>
        <v>25954.639200000001</v>
      </c>
      <c r="H51" s="35">
        <f t="shared" si="11"/>
        <v>0.58200000000000007</v>
      </c>
      <c r="I51" s="46"/>
      <c r="J51" s="46"/>
      <c r="K51" s="46"/>
      <c r="L51" s="37"/>
      <c r="M51" s="48">
        <f>M$4*0.122</f>
        <v>7449.32</v>
      </c>
      <c r="N51" s="35">
        <f t="shared" si="17"/>
        <v>1.0491999999999999</v>
      </c>
      <c r="O51" s="46"/>
      <c r="P51" s="46"/>
      <c r="Q51" s="46"/>
      <c r="R51" s="37"/>
      <c r="S51" s="48">
        <f>(S$4+S9)*0.122</f>
        <v>6149.5320000000002</v>
      </c>
      <c r="T51" s="35">
        <f t="shared" si="18"/>
        <v>63.397237113402063</v>
      </c>
      <c r="U51" s="38">
        <f t="shared" si="16"/>
        <v>39553.491199999997</v>
      </c>
      <c r="V51" s="248" t="e">
        <f>#REF!-#REF!-#REF!-#REF!</f>
        <v>#REF!</v>
      </c>
      <c r="W51" s="13">
        <f>U51-'2015-1'!U51</f>
        <v>1183.4919999999911</v>
      </c>
    </row>
    <row r="52" spans="1:23" x14ac:dyDescent="0.2">
      <c r="A52" s="296"/>
      <c r="B52" s="42" t="s">
        <v>350</v>
      </c>
      <c r="C52" s="40"/>
      <c r="D52" s="40"/>
      <c r="E52" s="40"/>
      <c r="F52" s="42"/>
      <c r="G52" s="41">
        <f>(G50+G51)*0.66393095</f>
        <v>33232.824155963244</v>
      </c>
      <c r="H52" s="241">
        <f t="shared" si="11"/>
        <v>0.74520410435027773</v>
      </c>
      <c r="I52" s="40"/>
      <c r="J52" s="40"/>
      <c r="K52" s="40"/>
      <c r="L52" s="42"/>
      <c r="M52" s="41">
        <f>M4-M50-M51-M13-M28</f>
        <v>12018.983554999999</v>
      </c>
      <c r="N52" s="241">
        <f t="shared" si="17"/>
        <v>1.6928145852112675</v>
      </c>
      <c r="O52" s="40"/>
      <c r="P52" s="40"/>
      <c r="Q52" s="40"/>
      <c r="R52" s="42"/>
      <c r="S52" s="41">
        <f>S4+S9-S50-S51-S13-S28-S34</f>
        <v>7466.4537272727302</v>
      </c>
      <c r="T52" s="241">
        <f t="shared" si="18"/>
        <v>76.973749765698244</v>
      </c>
      <c r="U52" s="465">
        <f t="shared" si="16"/>
        <v>52718.261438235975</v>
      </c>
      <c r="V52" s="248"/>
      <c r="W52" s="13">
        <f>U52-'2015-1'!U52</f>
        <v>6044.0069954557548</v>
      </c>
    </row>
    <row r="53" spans="1:23" s="1" customFormat="1" x14ac:dyDescent="0.2">
      <c r="A53" s="297"/>
      <c r="B53" s="56" t="s">
        <v>322</v>
      </c>
      <c r="C53" s="11"/>
      <c r="D53" s="11"/>
      <c r="E53" s="11"/>
      <c r="F53" s="56"/>
      <c r="G53" s="52">
        <f>SUM(G14:G52)</f>
        <v>259546.39342139615</v>
      </c>
      <c r="H53" s="54">
        <f t="shared" si="11"/>
        <v>5.820000031873013</v>
      </c>
      <c r="I53" s="11"/>
      <c r="J53" s="11"/>
      <c r="K53" s="11"/>
      <c r="L53" s="56"/>
      <c r="M53" s="52">
        <f>SUM(M14:M52)</f>
        <v>61059.999999999993</v>
      </c>
      <c r="N53" s="54">
        <f t="shared" si="17"/>
        <v>8.6</v>
      </c>
      <c r="O53" s="11"/>
      <c r="P53" s="11"/>
      <c r="Q53" s="11"/>
      <c r="R53" s="56"/>
      <c r="S53" s="52">
        <f>SUM(S14:S52)</f>
        <v>50406</v>
      </c>
      <c r="T53" s="341">
        <f t="shared" si="18"/>
        <v>519.64948453608247</v>
      </c>
      <c r="U53" s="466">
        <f t="shared" si="16"/>
        <v>371012.39342139615</v>
      </c>
      <c r="V53" s="248" t="e">
        <f>#REF!-#REF!-#REF!-#REF!</f>
        <v>#REF!</v>
      </c>
      <c r="W53" s="13">
        <f>U53-'2015-1'!U53</f>
        <v>11309.122350434132</v>
      </c>
    </row>
    <row r="54" spans="1:23" outlineLevel="1" x14ac:dyDescent="0.2">
      <c r="A54" s="295"/>
      <c r="B54" s="46"/>
      <c r="C54" s="46"/>
      <c r="D54" s="46"/>
      <c r="E54" s="46"/>
      <c r="F54" s="46"/>
      <c r="G54" s="48">
        <f>G4-G53</f>
        <v>-1.421396154910326E-3</v>
      </c>
      <c r="H54" s="48">
        <f>D4-H53</f>
        <v>-3.1873012673599987E-8</v>
      </c>
      <c r="I54" s="48"/>
      <c r="J54" s="48"/>
      <c r="K54" s="48"/>
      <c r="L54" s="48"/>
      <c r="M54" s="48">
        <f>M4-M53</f>
        <v>0</v>
      </c>
      <c r="N54" s="48">
        <f>J4-N53</f>
        <v>0</v>
      </c>
      <c r="O54" s="48"/>
      <c r="P54" s="48"/>
      <c r="Q54" s="48"/>
      <c r="R54" s="48"/>
      <c r="S54" s="48">
        <f>S4+S9-S53</f>
        <v>0</v>
      </c>
      <c r="T54" s="342">
        <f>T4+T9-T53</f>
        <v>78.350515463917532</v>
      </c>
      <c r="U54" s="38">
        <f>U4+U9-U53</f>
        <v>-1.421396154910326E-3</v>
      </c>
      <c r="W54" s="13">
        <f>U54-'2015-1'!U54</f>
        <v>31199.997649565863</v>
      </c>
    </row>
    <row r="55" spans="1:23" s="331" customFormat="1" outlineLevel="1" x14ac:dyDescent="0.2">
      <c r="A55" s="330"/>
      <c r="B55" s="329" t="s">
        <v>307</v>
      </c>
      <c r="C55" s="329"/>
      <c r="D55" s="329"/>
      <c r="E55" s="329"/>
      <c r="F55" s="329"/>
      <c r="G55" s="626">
        <v>0.9</v>
      </c>
      <c r="H55" s="329"/>
      <c r="I55" s="329"/>
      <c r="J55" s="329"/>
      <c r="K55" s="329"/>
      <c r="L55" s="329"/>
      <c r="M55" s="329">
        <f>1-G55</f>
        <v>9.9999999999999978E-2</v>
      </c>
      <c r="N55" s="329"/>
      <c r="O55" s="329"/>
      <c r="P55" s="329"/>
      <c r="Q55" s="329"/>
      <c r="R55" s="329"/>
      <c r="S55" s="329"/>
      <c r="T55" s="329"/>
      <c r="U55" s="467"/>
      <c r="W55" s="13">
        <f>U55-'2015-1'!U55</f>
        <v>0</v>
      </c>
    </row>
    <row r="56" spans="1:23" s="331" customFormat="1" outlineLevel="1" x14ac:dyDescent="0.2">
      <c r="A56" s="330"/>
      <c r="B56" s="329"/>
      <c r="C56" s="329"/>
      <c r="D56" s="329"/>
      <c r="E56" s="329"/>
      <c r="F56" s="329"/>
      <c r="G56" s="626">
        <f>G5/$U5</f>
        <v>0.99537728304433648</v>
      </c>
      <c r="H56" s="329"/>
      <c r="I56" s="329"/>
      <c r="J56" s="329"/>
      <c r="K56" s="329"/>
      <c r="L56" s="329"/>
      <c r="M56" s="344">
        <f>M5/$U5</f>
        <v>4.6227169556635221E-3</v>
      </c>
      <c r="N56" s="329"/>
      <c r="O56" s="329"/>
      <c r="P56" s="329"/>
      <c r="Q56" s="329"/>
      <c r="R56" s="329"/>
      <c r="S56" s="329">
        <f>S5/$U5</f>
        <v>0</v>
      </c>
      <c r="T56" s="329"/>
      <c r="U56" s="467">
        <f>U5/$U5</f>
        <v>1</v>
      </c>
      <c r="W56" s="13">
        <f>U56-'2015-1'!U56</f>
        <v>0</v>
      </c>
    </row>
    <row r="57" spans="1:23" s="1" customFormat="1" x14ac:dyDescent="0.2">
      <c r="A57" s="290" t="s">
        <v>323</v>
      </c>
      <c r="B57" s="258"/>
      <c r="C57" s="259"/>
      <c r="D57" s="259"/>
      <c r="E57" s="259"/>
      <c r="F57" s="258"/>
      <c r="G57" s="260"/>
      <c r="H57" s="261"/>
      <c r="I57" s="259"/>
      <c r="J57" s="259"/>
      <c r="K57" s="259"/>
      <c r="L57" s="258"/>
      <c r="M57" s="260"/>
      <c r="N57" s="261"/>
      <c r="O57" s="259"/>
      <c r="P57" s="259"/>
      <c r="Q57" s="259"/>
      <c r="R57" s="258"/>
      <c r="S57" s="260"/>
      <c r="T57" s="261"/>
      <c r="U57" s="464"/>
      <c r="V57" s="248"/>
      <c r="W57" s="13">
        <f>U57-'2015-1'!U57</f>
        <v>0</v>
      </c>
    </row>
    <row r="58" spans="1:23" x14ac:dyDescent="0.2">
      <c r="A58" s="283"/>
      <c r="B58" s="57" t="s">
        <v>324</v>
      </c>
      <c r="C58" s="253">
        <f>698.243468/12*G56</f>
        <v>57.917973840107926</v>
      </c>
      <c r="D58" s="48">
        <v>2994.3</v>
      </c>
      <c r="E58" s="46"/>
      <c r="F58" s="37"/>
      <c r="G58" s="247">
        <f>C58*D58</f>
        <v>173423.78906943518</v>
      </c>
      <c r="H58" s="36">
        <f t="shared" ref="H58:H64" si="19">G58/C$5</f>
        <v>4.0270614163242007</v>
      </c>
      <c r="I58" s="253">
        <f>698.243468/12*M56</f>
        <v>0.2689818265587417</v>
      </c>
      <c r="J58" s="48">
        <f>D58</f>
        <v>2994.3</v>
      </c>
      <c r="K58" s="53"/>
      <c r="L58" s="57"/>
      <c r="M58" s="247">
        <f>I58*J58</f>
        <v>805.41228326484031</v>
      </c>
      <c r="N58" s="36">
        <f t="shared" ref="N58:N64" si="20">M58/I$5</f>
        <v>4.0270614163242016</v>
      </c>
      <c r="O58" s="253">
        <f>739.0354/12*S56</f>
        <v>0</v>
      </c>
      <c r="P58" s="48"/>
      <c r="Q58" s="53"/>
      <c r="R58" s="57"/>
      <c r="S58" s="247">
        <f>O58*P58</f>
        <v>0</v>
      </c>
      <c r="T58" s="36"/>
      <c r="U58" s="39">
        <f t="shared" ref="U58:U64" si="21">G58+M58+S58</f>
        <v>174229.20135270001</v>
      </c>
      <c r="V58" s="248" t="e">
        <f>#REF!-#REF!-#REF!-#REF!</f>
        <v>#REF!</v>
      </c>
      <c r="W58" s="13">
        <f>U58-'2015-1'!U58</f>
        <v>-1788.749905500008</v>
      </c>
    </row>
    <row r="59" spans="1:23" x14ac:dyDescent="0.2">
      <c r="A59" s="283"/>
      <c r="B59" s="37" t="s">
        <v>325</v>
      </c>
      <c r="C59" s="46">
        <f>штат!B47</f>
        <v>0</v>
      </c>
      <c r="D59" s="47">
        <f>штат!C47</f>
        <v>0</v>
      </c>
      <c r="E59" s="47"/>
      <c r="F59" s="249"/>
      <c r="G59" s="48">
        <f>13892/2*G56</f>
        <v>6913.8906080259612</v>
      </c>
      <c r="H59" s="36">
        <f t="shared" si="19"/>
        <v>0.16054695987019413</v>
      </c>
      <c r="I59" s="46">
        <f>C59</f>
        <v>0</v>
      </c>
      <c r="J59" s="47">
        <f>D59</f>
        <v>0</v>
      </c>
      <c r="K59" s="47">
        <f>E59</f>
        <v>0</v>
      </c>
      <c r="L59" s="57"/>
      <c r="M59" s="48">
        <f>13892/2*M56</f>
        <v>32.109391974038822</v>
      </c>
      <c r="N59" s="36">
        <f t="shared" si="20"/>
        <v>0.1605469598701941</v>
      </c>
      <c r="O59" s="46">
        <f t="shared" ref="O59:Q60" si="22">I59</f>
        <v>0</v>
      </c>
      <c r="P59" s="47">
        <f t="shared" si="22"/>
        <v>0</v>
      </c>
      <c r="Q59" s="47">
        <f t="shared" si="22"/>
        <v>0</v>
      </c>
      <c r="R59" s="57"/>
      <c r="S59" s="48">
        <f>13892/2*S56</f>
        <v>0</v>
      </c>
      <c r="T59" s="36"/>
      <c r="U59" s="38">
        <f t="shared" si="21"/>
        <v>6946</v>
      </c>
      <c r="V59" s="248" t="e">
        <f>#REF!-#REF!-#REF!-#REF!</f>
        <v>#REF!</v>
      </c>
      <c r="W59" s="13">
        <f>U59-'2015-1'!U59</f>
        <v>0</v>
      </c>
    </row>
    <row r="60" spans="1:23" x14ac:dyDescent="0.2">
      <c r="A60" s="283"/>
      <c r="B60" s="37" t="s">
        <v>326</v>
      </c>
      <c r="C60" s="46">
        <f>штат!B48</f>
        <v>0</v>
      </c>
      <c r="D60" s="47">
        <f>штат!C48</f>
        <v>0</v>
      </c>
      <c r="E60" s="47"/>
      <c r="F60" s="249"/>
      <c r="G60" s="48">
        <f>974.8*G56</f>
        <v>970.29377551161917</v>
      </c>
      <c r="H60" s="36">
        <f t="shared" si="19"/>
        <v>2.2531122441904004E-2</v>
      </c>
      <c r="I60" s="46">
        <f>C60</f>
        <v>0</v>
      </c>
      <c r="J60" s="47">
        <f>D60</f>
        <v>0</v>
      </c>
      <c r="K60" s="47">
        <f>E60</f>
        <v>0</v>
      </c>
      <c r="L60" s="57"/>
      <c r="M60" s="48">
        <f>974.8*M56</f>
        <v>4.5062244883808011</v>
      </c>
      <c r="N60" s="36">
        <f t="shared" si="20"/>
        <v>2.2531122441904007E-2</v>
      </c>
      <c r="O60" s="46">
        <f t="shared" si="22"/>
        <v>0</v>
      </c>
      <c r="P60" s="47">
        <f t="shared" si="22"/>
        <v>0</v>
      </c>
      <c r="Q60" s="47">
        <f t="shared" si="22"/>
        <v>0</v>
      </c>
      <c r="R60" s="57"/>
      <c r="S60" s="48">
        <f>40000/12*S56</f>
        <v>0</v>
      </c>
      <c r="T60" s="36"/>
      <c r="U60" s="38">
        <f t="shared" si="21"/>
        <v>974.8</v>
      </c>
      <c r="V60" s="248" t="e">
        <f>#REF!-#REF!-#REF!-#REF!</f>
        <v>#REF!</v>
      </c>
      <c r="W60" s="13">
        <f>U60-'2015-1'!U60</f>
        <v>0</v>
      </c>
    </row>
    <row r="61" spans="1:23" x14ac:dyDescent="0.2">
      <c r="A61" s="283"/>
      <c r="B61" s="37" t="s">
        <v>327</v>
      </c>
      <c r="C61" s="46">
        <f>штат!B49</f>
        <v>0</v>
      </c>
      <c r="D61" s="47">
        <f>штат!C49</f>
        <v>0</v>
      </c>
      <c r="E61" s="47"/>
      <c r="F61" s="249"/>
      <c r="G61" s="48">
        <f>6000*2/12*G56</f>
        <v>995.37728304433654</v>
      </c>
      <c r="H61" s="36">
        <f t="shared" si="19"/>
        <v>2.3113584778317611E-2</v>
      </c>
      <c r="I61" s="46">
        <f>C61</f>
        <v>0</v>
      </c>
      <c r="J61" s="47">
        <f>D61</f>
        <v>0</v>
      </c>
      <c r="K61" s="47">
        <f>E61</f>
        <v>0</v>
      </c>
      <c r="L61" s="57"/>
      <c r="M61" s="48">
        <f>6000*2/12*M56</f>
        <v>4.6227169556635221</v>
      </c>
      <c r="N61" s="36">
        <f t="shared" si="20"/>
        <v>2.3113584778317611E-2</v>
      </c>
      <c r="O61" s="46"/>
      <c r="P61" s="47"/>
      <c r="Q61" s="47"/>
      <c r="R61" s="57"/>
      <c r="S61" s="48">
        <f>6000*2/12*S56</f>
        <v>0</v>
      </c>
      <c r="T61" s="36"/>
      <c r="U61" s="38">
        <f t="shared" si="21"/>
        <v>1000.0000000000001</v>
      </c>
      <c r="V61" s="248" t="e">
        <f>#REF!-#REF!-#REF!-#REF!</f>
        <v>#REF!</v>
      </c>
      <c r="W61" s="13">
        <f>U61-'2015-1'!U61</f>
        <v>0</v>
      </c>
    </row>
    <row r="62" spans="1:23" x14ac:dyDescent="0.2">
      <c r="A62" s="295"/>
      <c r="B62" s="230" t="s">
        <v>328</v>
      </c>
      <c r="C62" s="46"/>
      <c r="D62" s="46"/>
      <c r="E62" s="46"/>
      <c r="F62" s="249"/>
      <c r="G62" s="48">
        <f>8000*G56</f>
        <v>7963.0182643546923</v>
      </c>
      <c r="H62" s="36">
        <f t="shared" si="19"/>
        <v>0.18490867822654089</v>
      </c>
      <c r="I62" s="46"/>
      <c r="J62" s="46"/>
      <c r="K62" s="46"/>
      <c r="L62" s="57"/>
      <c r="M62" s="48">
        <f>8000*M56</f>
        <v>36.981735645308177</v>
      </c>
      <c r="N62" s="36">
        <f t="shared" si="20"/>
        <v>0.18490867822654089</v>
      </c>
      <c r="O62" s="46"/>
      <c r="P62" s="47"/>
      <c r="Q62" s="47"/>
      <c r="R62" s="57"/>
      <c r="S62" s="48">
        <f>8000*S56</f>
        <v>0</v>
      </c>
      <c r="T62" s="36"/>
      <c r="U62" s="38">
        <f t="shared" si="21"/>
        <v>8000.0000000000009</v>
      </c>
      <c r="W62" s="13">
        <f>U62-'2015-1'!U62</f>
        <v>0</v>
      </c>
    </row>
    <row r="63" spans="1:23" x14ac:dyDescent="0.2">
      <c r="A63" s="283"/>
      <c r="B63" s="37" t="s">
        <v>268</v>
      </c>
      <c r="C63" s="46"/>
      <c r="D63" s="46"/>
      <c r="E63" s="46"/>
      <c r="F63" s="37"/>
      <c r="G63" s="48">
        <f>(12800+13424.92+800*4)/12*G56</f>
        <v>2440.7414102830794</v>
      </c>
      <c r="H63" s="36">
        <f t="shared" si="19"/>
        <v>5.6676281917934439E-2</v>
      </c>
      <c r="I63" s="46"/>
      <c r="J63" s="46"/>
      <c r="K63" s="46"/>
      <c r="L63" s="57"/>
      <c r="M63" s="48">
        <f>(12800+13424.92+800*4)/12*M56</f>
        <v>11.33525638358689</v>
      </c>
      <c r="N63" s="36">
        <f t="shared" si="20"/>
        <v>5.6676281917934446E-2</v>
      </c>
      <c r="O63" s="46"/>
      <c r="P63" s="47"/>
      <c r="Q63" s="47"/>
      <c r="R63" s="57"/>
      <c r="S63" s="48">
        <f>(12800+13424.92+800*4)/12*S56</f>
        <v>0</v>
      </c>
      <c r="T63" s="36"/>
      <c r="U63" s="38">
        <f t="shared" si="21"/>
        <v>2452.0766666666664</v>
      </c>
      <c r="V63" s="248" t="e">
        <f>#REF!-#REF!-#REF!-#REF!</f>
        <v>#REF!</v>
      </c>
      <c r="W63" s="13">
        <f>U63-'2015-1'!U63</f>
        <v>0</v>
      </c>
    </row>
    <row r="64" spans="1:23" x14ac:dyDescent="0.2">
      <c r="A64" s="283"/>
      <c r="B64" s="37" t="s">
        <v>334</v>
      </c>
      <c r="C64" s="49">
        <f>11250*G56</f>
        <v>11197.994434248785</v>
      </c>
      <c r="D64" s="252">
        <f>$D$6</f>
        <v>0.78900000000000003</v>
      </c>
      <c r="E64" s="46"/>
      <c r="F64" s="37"/>
      <c r="G64" s="247">
        <f>C64*D64</f>
        <v>8835.2176086222917</v>
      </c>
      <c r="H64" s="36">
        <f t="shared" si="19"/>
        <v>0.20516195688854169</v>
      </c>
      <c r="I64" s="49">
        <f>11250*M56</f>
        <v>52.005565751214625</v>
      </c>
      <c r="J64" s="252">
        <f>D64</f>
        <v>0.78900000000000003</v>
      </c>
      <c r="K64" s="46"/>
      <c r="L64" s="57"/>
      <c r="M64" s="247">
        <f>I64*J64</f>
        <v>41.032391377708343</v>
      </c>
      <c r="N64" s="36">
        <f t="shared" si="20"/>
        <v>0.20516195688854172</v>
      </c>
      <c r="O64" s="49">
        <f>11250*S56</f>
        <v>0</v>
      </c>
      <c r="P64" s="252"/>
      <c r="Q64" s="47"/>
      <c r="R64" s="57"/>
      <c r="S64" s="247">
        <f>O64*P64</f>
        <v>0</v>
      </c>
      <c r="T64" s="36"/>
      <c r="U64" s="38">
        <f t="shared" si="21"/>
        <v>8876.25</v>
      </c>
      <c r="V64" s="248" t="e">
        <f>#REF!-#REF!-#REF!-#REF!</f>
        <v>#REF!</v>
      </c>
      <c r="W64" s="13">
        <f>U64-'2015-1'!U64</f>
        <v>1788.75</v>
      </c>
    </row>
    <row r="65" spans="1:23" s="1" customFormat="1" x14ac:dyDescent="0.2">
      <c r="A65" s="284"/>
      <c r="B65" s="58" t="s">
        <v>333</v>
      </c>
      <c r="C65" s="59"/>
      <c r="D65" s="59"/>
      <c r="E65" s="59"/>
      <c r="F65" s="58"/>
      <c r="G65" s="255">
        <f>SUM(G58:G64)</f>
        <v>201542.32801927716</v>
      </c>
      <c r="H65" s="257">
        <f>SUM(H58:H64)</f>
        <v>4.6800000004476336</v>
      </c>
      <c r="I65" s="59"/>
      <c r="J65" s="59"/>
      <c r="K65" s="59"/>
      <c r="L65" s="58"/>
      <c r="M65" s="255">
        <f>SUM(M58:M64)</f>
        <v>936.00000008952679</v>
      </c>
      <c r="N65" s="257">
        <f>SUM(N58:N64)</f>
        <v>4.6800000004476345</v>
      </c>
      <c r="O65" s="59"/>
      <c r="P65" s="59"/>
      <c r="Q65" s="59"/>
      <c r="R65" s="58"/>
      <c r="S65" s="255">
        <f>SUM(S58:S64)</f>
        <v>0</v>
      </c>
      <c r="T65" s="257">
        <f>SUM(T58:T64)</f>
        <v>0</v>
      </c>
      <c r="U65" s="343">
        <f>SUM(U58:U64)</f>
        <v>202478.32801936666</v>
      </c>
      <c r="V65" s="248" t="e">
        <f>#REF!-#REF!-#REF!-#REF!</f>
        <v>#REF!</v>
      </c>
      <c r="W65" s="13">
        <f>U65-'2015-1'!U65</f>
        <v>9.4499991973862052E-5</v>
      </c>
    </row>
    <row r="66" spans="1:23" s="1" customFormat="1" x14ac:dyDescent="0.2">
      <c r="A66" s="290" t="s">
        <v>351</v>
      </c>
      <c r="B66" s="258"/>
      <c r="C66" s="259"/>
      <c r="D66" s="259"/>
      <c r="E66" s="259"/>
      <c r="F66" s="258"/>
      <c r="G66" s="260"/>
      <c r="H66" s="261"/>
      <c r="I66" s="259"/>
      <c r="J66" s="259"/>
      <c r="K66" s="259"/>
      <c r="L66" s="258"/>
      <c r="M66" s="260"/>
      <c r="N66" s="261"/>
      <c r="O66" s="259"/>
      <c r="P66" s="259"/>
      <c r="Q66" s="259"/>
      <c r="R66" s="258"/>
      <c r="S66" s="260"/>
      <c r="T66" s="261"/>
      <c r="U66" s="464"/>
      <c r="V66" s="248"/>
      <c r="W66" s="13">
        <f>U66-'2015-1'!U66</f>
        <v>0</v>
      </c>
    </row>
    <row r="67" spans="1:23" x14ac:dyDescent="0.2">
      <c r="A67" s="295"/>
      <c r="B67" s="37" t="s">
        <v>316</v>
      </c>
      <c r="C67" s="47">
        <f>C6</f>
        <v>200000</v>
      </c>
      <c r="D67" s="252">
        <f>$D$6</f>
        <v>0.78900000000000003</v>
      </c>
      <c r="E67" s="47"/>
      <c r="F67" s="249"/>
      <c r="G67" s="247">
        <f>C67*D67</f>
        <v>157800</v>
      </c>
      <c r="H67" s="36">
        <f>G67/C67</f>
        <v>0.78900000000000003</v>
      </c>
      <c r="I67" s="47">
        <v>15000</v>
      </c>
      <c r="J67" s="252">
        <f>D75</f>
        <v>1.88</v>
      </c>
      <c r="K67" s="265"/>
      <c r="L67" s="35"/>
      <c r="M67" s="48">
        <f>I67*J67</f>
        <v>28200</v>
      </c>
      <c r="N67" s="266">
        <f>M67/I67</f>
        <v>1.88</v>
      </c>
      <c r="O67" s="46"/>
      <c r="P67" s="47"/>
      <c r="Q67" s="47"/>
      <c r="R67" s="249"/>
      <c r="S67" s="48"/>
      <c r="T67" s="39">
        <f>S67/O$4</f>
        <v>0</v>
      </c>
      <c r="U67" s="38">
        <f>G67+M67+S67</f>
        <v>186000</v>
      </c>
      <c r="W67" s="13">
        <f>U67-'2015-1'!U67</f>
        <v>34800</v>
      </c>
    </row>
    <row r="68" spans="1:23" s="1" customFormat="1" x14ac:dyDescent="0.2">
      <c r="A68" s="284"/>
      <c r="B68" s="58" t="s">
        <v>352</v>
      </c>
      <c r="C68" s="59"/>
      <c r="D68" s="59"/>
      <c r="E68" s="59"/>
      <c r="F68" s="58"/>
      <c r="G68" s="255">
        <f>SUM(G67)</f>
        <v>157800</v>
      </c>
      <c r="H68" s="257">
        <f>SUM(H67)</f>
        <v>0.78900000000000003</v>
      </c>
      <c r="I68" s="59"/>
      <c r="J68" s="59"/>
      <c r="K68" s="59"/>
      <c r="L68" s="58"/>
      <c r="M68" s="255">
        <f>SUM(M67)</f>
        <v>28200</v>
      </c>
      <c r="N68" s="267">
        <f>SUM(N67)</f>
        <v>1.88</v>
      </c>
      <c r="O68" s="59"/>
      <c r="P68" s="59"/>
      <c r="Q68" s="59"/>
      <c r="R68" s="58"/>
      <c r="S68" s="255">
        <f>SUM(S67)</f>
        <v>0</v>
      </c>
      <c r="T68" s="257">
        <f>SUM(T67)</f>
        <v>0</v>
      </c>
      <c r="U68" s="343">
        <f>SUM(U67)</f>
        <v>186000</v>
      </c>
      <c r="V68" s="248" t="e">
        <f>#REF!-#REF!-#REF!-#REF!</f>
        <v>#REF!</v>
      </c>
      <c r="W68" s="13">
        <f>U68-'2015-1'!U68</f>
        <v>34800</v>
      </c>
    </row>
    <row r="69" spans="1:23" s="1" customFormat="1" x14ac:dyDescent="0.2">
      <c r="A69" s="290" t="s">
        <v>354</v>
      </c>
      <c r="B69" s="258"/>
      <c r="C69" s="259"/>
      <c r="D69" s="259"/>
      <c r="E69" s="259"/>
      <c r="F69" s="258"/>
      <c r="G69" s="260"/>
      <c r="H69" s="261"/>
      <c r="I69" s="259"/>
      <c r="J69" s="259"/>
      <c r="K69" s="259"/>
      <c r="L69" s="258"/>
      <c r="M69" s="260"/>
      <c r="N69" s="261"/>
      <c r="O69" s="259"/>
      <c r="P69" s="259"/>
      <c r="Q69" s="259"/>
      <c r="R69" s="258"/>
      <c r="S69" s="260"/>
      <c r="T69" s="261"/>
      <c r="U69" s="464"/>
      <c r="V69" s="248"/>
      <c r="W69" s="13">
        <f>U69-'2015-1'!U69</f>
        <v>0</v>
      </c>
    </row>
    <row r="70" spans="1:23" x14ac:dyDescent="0.2">
      <c r="A70" s="283"/>
      <c r="B70" s="37" t="s">
        <v>366</v>
      </c>
      <c r="C70" s="47">
        <f>C7</f>
        <v>5700</v>
      </c>
      <c r="D70" s="264">
        <v>3.5760000000000001</v>
      </c>
      <c r="E70" s="47"/>
      <c r="F70" s="249"/>
      <c r="G70" s="247">
        <f>C70*D70</f>
        <v>20383.2</v>
      </c>
      <c r="H70" s="36">
        <f t="shared" ref="H70:H76" si="23">G70/C$70</f>
        <v>3.5760000000000001</v>
      </c>
      <c r="I70" s="47">
        <f>I7</f>
        <v>10</v>
      </c>
      <c r="J70" s="253">
        <f>D70</f>
        <v>3.5760000000000001</v>
      </c>
      <c r="K70" s="47"/>
      <c r="L70" s="249"/>
      <c r="M70" s="247">
        <f>I70*J70</f>
        <v>35.76</v>
      </c>
      <c r="N70" s="36">
        <f t="shared" ref="N70:N76" si="24">M70/I$70</f>
        <v>3.5759999999999996</v>
      </c>
      <c r="O70" s="46"/>
      <c r="P70" s="47"/>
      <c r="Q70" s="47"/>
      <c r="R70" s="249"/>
      <c r="S70" s="48"/>
      <c r="T70" s="39">
        <f>S70/O$4</f>
        <v>0</v>
      </c>
      <c r="U70" s="38">
        <f t="shared" ref="U70:U76" si="25">G70+M70+S70</f>
        <v>20418.96</v>
      </c>
      <c r="V70" s="248"/>
      <c r="W70" s="13">
        <f>U70-'2015-1'!U70</f>
        <v>0</v>
      </c>
    </row>
    <row r="71" spans="1:23" x14ac:dyDescent="0.2">
      <c r="A71" s="283"/>
      <c r="B71" s="37" t="s">
        <v>330</v>
      </c>
      <c r="C71" s="47"/>
      <c r="D71" s="48"/>
      <c r="E71" s="47"/>
      <c r="F71" s="249"/>
      <c r="G71" s="48">
        <f>500*10*C7/($C$7+$C$9+$I$7+$I$9)</f>
        <v>4991.2434325744307</v>
      </c>
      <c r="H71" s="36">
        <f t="shared" si="23"/>
        <v>0.87565674255691761</v>
      </c>
      <c r="I71" s="47"/>
      <c r="J71" s="48"/>
      <c r="K71" s="47"/>
      <c r="L71" s="249"/>
      <c r="M71" s="48">
        <f>500*10*I7/($C$7+$C$9+$I$7+$I$9)</f>
        <v>8.7565674255691768</v>
      </c>
      <c r="N71" s="36">
        <f t="shared" si="24"/>
        <v>0.87565674255691772</v>
      </c>
      <c r="O71" s="46"/>
      <c r="P71" s="47"/>
      <c r="Q71" s="47"/>
      <c r="R71" s="249"/>
      <c r="S71" s="48"/>
      <c r="T71" s="39"/>
      <c r="U71" s="38">
        <f t="shared" si="25"/>
        <v>5000</v>
      </c>
      <c r="V71" s="248"/>
      <c r="W71" s="13">
        <f>U71-'2015-1'!U71</f>
        <v>0</v>
      </c>
    </row>
    <row r="72" spans="1:23" x14ac:dyDescent="0.2">
      <c r="A72" s="283"/>
      <c r="B72" s="37" t="s">
        <v>335</v>
      </c>
      <c r="C72" s="47"/>
      <c r="D72" s="48"/>
      <c r="E72" s="47"/>
      <c r="F72" s="249"/>
      <c r="G72" s="48">
        <f>(1500+500)*6/12*C7/($C$7+$C$9+$I$7+$I$9)</f>
        <v>998.24868651488612</v>
      </c>
      <c r="H72" s="36">
        <f t="shared" si="23"/>
        <v>0.17513134851138354</v>
      </c>
      <c r="I72" s="47"/>
      <c r="J72" s="48"/>
      <c r="K72" s="47"/>
      <c r="L72" s="249"/>
      <c r="M72" s="48">
        <f>(1500+500)*6/12*I7/($C$7+$C$9+$I$7+$I$9)</f>
        <v>1.7513134851138354</v>
      </c>
      <c r="N72" s="36">
        <f t="shared" si="24"/>
        <v>0.17513134851138354</v>
      </c>
      <c r="O72" s="46"/>
      <c r="P72" s="47"/>
      <c r="Q72" s="47"/>
      <c r="R72" s="249"/>
      <c r="S72" s="48"/>
      <c r="T72" s="39"/>
      <c r="U72" s="38">
        <f t="shared" si="25"/>
        <v>1000</v>
      </c>
      <c r="V72" s="248"/>
      <c r="W72" s="13">
        <f>U72-'2015-1'!U72</f>
        <v>0</v>
      </c>
    </row>
    <row r="73" spans="1:23" x14ac:dyDescent="0.2">
      <c r="A73" s="283"/>
      <c r="B73" s="37" t="s">
        <v>331</v>
      </c>
      <c r="C73" s="47"/>
      <c r="D73" s="48"/>
      <c r="E73" s="47"/>
      <c r="F73" s="249"/>
      <c r="G73" s="48">
        <f>1600*C7/($C$7+$C$9+$I$7+$I$9)</f>
        <v>1597.1978984238178</v>
      </c>
      <c r="H73" s="36">
        <f t="shared" si="23"/>
        <v>0.28021015761821366</v>
      </c>
      <c r="I73" s="47"/>
      <c r="J73" s="48"/>
      <c r="K73" s="47"/>
      <c r="L73" s="249"/>
      <c r="M73" s="48">
        <f>1600*I7/($C$7+$C$9+$I$7+$I$9)</f>
        <v>2.8021015761821366</v>
      </c>
      <c r="N73" s="36">
        <f t="shared" si="24"/>
        <v>0.28021015761821366</v>
      </c>
      <c r="O73" s="46"/>
      <c r="P73" s="47"/>
      <c r="Q73" s="47"/>
      <c r="R73" s="249"/>
      <c r="S73" s="48"/>
      <c r="T73" s="39"/>
      <c r="U73" s="38">
        <f t="shared" si="25"/>
        <v>1600</v>
      </c>
      <c r="V73" s="248"/>
      <c r="W73" s="13">
        <f>U73-'2015-1'!U73</f>
        <v>0</v>
      </c>
    </row>
    <row r="74" spans="1:23" x14ac:dyDescent="0.2">
      <c r="A74" s="283"/>
      <c r="B74" s="37" t="s">
        <v>334</v>
      </c>
      <c r="C74" s="49">
        <f>9000*C7/($C$7+$C$9+$I$7+$I$9)</f>
        <v>8984.2381786339756</v>
      </c>
      <c r="D74" s="252">
        <f>$D$6</f>
        <v>0.78900000000000003</v>
      </c>
      <c r="E74" s="46"/>
      <c r="F74" s="37"/>
      <c r="G74" s="247">
        <f>C74*D74</f>
        <v>7088.5639229422068</v>
      </c>
      <c r="H74" s="36">
        <f t="shared" si="23"/>
        <v>1.2436077057793344</v>
      </c>
      <c r="I74" s="49">
        <f>9000*I7/($C$7+$C$9+$I$7+$I$9)</f>
        <v>15.761821366024519</v>
      </c>
      <c r="J74" s="252">
        <f>D74</f>
        <v>0.78900000000000003</v>
      </c>
      <c r="K74" s="46"/>
      <c r="L74" s="57"/>
      <c r="M74" s="247">
        <f>I74*J74</f>
        <v>12.436077057793346</v>
      </c>
      <c r="N74" s="36">
        <f t="shared" si="24"/>
        <v>1.2436077057793347</v>
      </c>
      <c r="O74" s="49"/>
      <c r="P74" s="252"/>
      <c r="Q74" s="47"/>
      <c r="R74" s="57"/>
      <c r="S74" s="247">
        <f>O74*P74</f>
        <v>0</v>
      </c>
      <c r="T74" s="36"/>
      <c r="U74" s="38">
        <f t="shared" si="25"/>
        <v>7101</v>
      </c>
      <c r="V74" s="248" t="e">
        <f>#REF!-#REF!-#REF!-#REF!</f>
        <v>#REF!</v>
      </c>
      <c r="W74" s="13">
        <f>U74-'2015-1'!U74</f>
        <v>1431</v>
      </c>
    </row>
    <row r="75" spans="1:23" x14ac:dyDescent="0.2">
      <c r="A75" s="283"/>
      <c r="B75" s="37" t="s">
        <v>358</v>
      </c>
      <c r="C75" s="49">
        <f>1000*C7/($C$7+$C$9+$I$7+$I$9)</f>
        <v>998.24868651488612</v>
      </c>
      <c r="D75" s="252">
        <f>J6</f>
        <v>1.88</v>
      </c>
      <c r="E75" s="46"/>
      <c r="F75" s="37"/>
      <c r="G75" s="247">
        <f>C75*D75</f>
        <v>1876.7075306479858</v>
      </c>
      <c r="H75" s="36">
        <f t="shared" si="23"/>
        <v>0.32924693520140103</v>
      </c>
      <c r="I75" s="49">
        <f>1000*I7/($C$7+$C$9+$I$7+$I$9)</f>
        <v>1.7513134851138354</v>
      </c>
      <c r="J75" s="252">
        <f>D75</f>
        <v>1.88</v>
      </c>
      <c r="K75" s="46"/>
      <c r="L75" s="57"/>
      <c r="M75" s="247">
        <f>I75*J75</f>
        <v>3.2924693520140105</v>
      </c>
      <c r="N75" s="36">
        <f t="shared" si="24"/>
        <v>0.32924693520140103</v>
      </c>
      <c r="O75" s="49"/>
      <c r="P75" s="252"/>
      <c r="Q75" s="47"/>
      <c r="R75" s="57"/>
      <c r="S75" s="247">
        <f>O75*P75</f>
        <v>0</v>
      </c>
      <c r="T75" s="36"/>
      <c r="U75" s="38">
        <f t="shared" si="25"/>
        <v>1879.9999999999998</v>
      </c>
      <c r="V75" s="248" t="e">
        <f>#REF!-#REF!-#REF!-#REF!</f>
        <v>#REF!</v>
      </c>
      <c r="W75" s="13">
        <f>U75-'2015-1'!U75</f>
        <v>200</v>
      </c>
    </row>
    <row r="76" spans="1:23" x14ac:dyDescent="0.2">
      <c r="A76" s="283"/>
      <c r="B76" s="37" t="s">
        <v>350</v>
      </c>
      <c r="C76" s="47"/>
      <c r="D76" s="48"/>
      <c r="E76" s="47"/>
      <c r="F76" s="249"/>
      <c r="G76" s="48">
        <f>G7-SUM(G70:G75)</f>
        <v>5586.8385288966674</v>
      </c>
      <c r="H76" s="36">
        <f t="shared" si="23"/>
        <v>0.98014711033274871</v>
      </c>
      <c r="I76" s="47"/>
      <c r="J76" s="48"/>
      <c r="K76" s="47"/>
      <c r="L76" s="249"/>
      <c r="M76" s="48">
        <f>M7-SUM(M70:M75)</f>
        <v>9.8014711033274864</v>
      </c>
      <c r="N76" s="36">
        <f t="shared" si="24"/>
        <v>0.98014711033274859</v>
      </c>
      <c r="O76" s="46"/>
      <c r="P76" s="47"/>
      <c r="Q76" s="47"/>
      <c r="R76" s="249"/>
      <c r="S76" s="48"/>
      <c r="T76" s="39"/>
      <c r="U76" s="38">
        <f t="shared" si="25"/>
        <v>5596.6399999999949</v>
      </c>
      <c r="V76" s="248"/>
      <c r="W76" s="13">
        <f>U76-'2015-1'!U76</f>
        <v>-1631.0000000000009</v>
      </c>
    </row>
    <row r="77" spans="1:23" s="1" customFormat="1" x14ac:dyDescent="0.2">
      <c r="A77" s="284"/>
      <c r="B77" s="58" t="s">
        <v>355</v>
      </c>
      <c r="C77" s="59"/>
      <c r="D77" s="59"/>
      <c r="E77" s="59"/>
      <c r="F77" s="58"/>
      <c r="G77" s="255">
        <f>SUM(G70:G76)</f>
        <v>42522</v>
      </c>
      <c r="H77" s="257">
        <f>SUM(H70:H76)</f>
        <v>7.46</v>
      </c>
      <c r="I77" s="59"/>
      <c r="J77" s="59"/>
      <c r="K77" s="59"/>
      <c r="L77" s="58"/>
      <c r="M77" s="255">
        <f>SUM(M70:M76)</f>
        <v>74.599999999999994</v>
      </c>
      <c r="N77" s="257">
        <f>SUM(N70:N76)</f>
        <v>7.4599999999999991</v>
      </c>
      <c r="O77" s="59"/>
      <c r="P77" s="59"/>
      <c r="Q77" s="59"/>
      <c r="R77" s="58"/>
      <c r="S77" s="255">
        <f>SUM(S70:S75)</f>
        <v>0</v>
      </c>
      <c r="T77" s="257">
        <f>SUM(T70:T75)</f>
        <v>0</v>
      </c>
      <c r="U77" s="343">
        <f>SUM(U70:U76)</f>
        <v>42596.599999999991</v>
      </c>
      <c r="V77" s="248" t="e">
        <f>#REF!-#REF!-#REF!-#REF!</f>
        <v>#REF!</v>
      </c>
      <c r="W77" s="13">
        <f>U77-'2015-1'!U77</f>
        <v>0</v>
      </c>
    </row>
    <row r="78" spans="1:23" s="1" customFormat="1" x14ac:dyDescent="0.2">
      <c r="A78" s="290" t="s">
        <v>356</v>
      </c>
      <c r="B78" s="258"/>
      <c r="C78" s="259"/>
      <c r="D78" s="259"/>
      <c r="E78" s="259"/>
      <c r="F78" s="258"/>
      <c r="G78" s="260"/>
      <c r="H78" s="261"/>
      <c r="I78" s="259"/>
      <c r="J78" s="259"/>
      <c r="K78" s="259"/>
      <c r="L78" s="258"/>
      <c r="M78" s="260"/>
      <c r="N78" s="261"/>
      <c r="O78" s="259"/>
      <c r="P78" s="259"/>
      <c r="Q78" s="259"/>
      <c r="R78" s="258"/>
      <c r="S78" s="260"/>
      <c r="T78" s="261"/>
      <c r="U78" s="464"/>
      <c r="V78" s="248"/>
      <c r="W78" s="13">
        <f>U78-'2015-1'!U78</f>
        <v>0</v>
      </c>
    </row>
    <row r="79" spans="1:23" x14ac:dyDescent="0.2">
      <c r="A79" s="283"/>
      <c r="B79" s="360" t="s">
        <v>390</v>
      </c>
      <c r="C79" s="47">
        <f>C8</f>
        <v>300</v>
      </c>
      <c r="D79" s="264">
        <f>D7</f>
        <v>7.46</v>
      </c>
      <c r="E79" s="47"/>
      <c r="F79" s="249"/>
      <c r="G79" s="247">
        <f>C79*D79</f>
        <v>2238</v>
      </c>
      <c r="H79" s="36">
        <f t="shared" ref="H79:H86" si="26">G79/C$79</f>
        <v>7.46</v>
      </c>
      <c r="I79" s="47">
        <f>I8</f>
        <v>1</v>
      </c>
      <c r="J79" s="253">
        <f>D79</f>
        <v>7.46</v>
      </c>
      <c r="K79" s="47"/>
      <c r="L79" s="249"/>
      <c r="M79" s="247">
        <f>I79*J79</f>
        <v>7.46</v>
      </c>
      <c r="N79" s="36">
        <f t="shared" ref="N79:N86" si="27">M79/I$79</f>
        <v>7.46</v>
      </c>
      <c r="O79" s="46"/>
      <c r="P79" s="47"/>
      <c r="Q79" s="47"/>
      <c r="R79" s="249"/>
      <c r="S79" s="48"/>
      <c r="T79" s="39">
        <f>S79/O$4</f>
        <v>0</v>
      </c>
      <c r="U79" s="38">
        <f t="shared" ref="U79:U86" si="28">G79+M79+S79</f>
        <v>2245.46</v>
      </c>
      <c r="V79" s="248"/>
      <c r="W79" s="13">
        <f>U79-'2015-1'!U79</f>
        <v>0</v>
      </c>
    </row>
    <row r="80" spans="1:23" hidden="1" outlineLevel="1" x14ac:dyDescent="0.2">
      <c r="A80" s="283"/>
      <c r="B80" s="37" t="s">
        <v>330</v>
      </c>
      <c r="C80" s="47"/>
      <c r="D80" s="48"/>
      <c r="E80" s="47"/>
      <c r="F80" s="249"/>
      <c r="G80" s="48">
        <f>500*10*C9/($C$7+$C$9+$I$7+$I$9)</f>
        <v>0</v>
      </c>
      <c r="H80" s="36">
        <f t="shared" si="26"/>
        <v>0</v>
      </c>
      <c r="I80" s="47"/>
      <c r="J80" s="48"/>
      <c r="K80" s="47"/>
      <c r="L80" s="249"/>
      <c r="M80" s="48">
        <f>500*10*I9/($C$7+$C$9+$I$7+$I$9)</f>
        <v>0</v>
      </c>
      <c r="N80" s="36">
        <f t="shared" si="27"/>
        <v>0</v>
      </c>
      <c r="O80" s="46"/>
      <c r="P80" s="47"/>
      <c r="Q80" s="47"/>
      <c r="R80" s="249"/>
      <c r="S80" s="48"/>
      <c r="T80" s="39">
        <f>S80/O$4</f>
        <v>0</v>
      </c>
      <c r="U80" s="38">
        <f t="shared" si="28"/>
        <v>0</v>
      </c>
      <c r="V80" s="248"/>
      <c r="W80" s="13">
        <f>U80-'2015-1'!U80</f>
        <v>0</v>
      </c>
    </row>
    <row r="81" spans="1:23" hidden="1" outlineLevel="1" x14ac:dyDescent="0.2">
      <c r="A81" s="283"/>
      <c r="B81" s="37" t="s">
        <v>335</v>
      </c>
      <c r="C81" s="47"/>
      <c r="D81" s="48"/>
      <c r="E81" s="47"/>
      <c r="F81" s="249"/>
      <c r="G81" s="48">
        <f>(1500+500)*6/12*C9/($C$7+$C$9+$I$7+$I$9)</f>
        <v>0</v>
      </c>
      <c r="H81" s="36">
        <f t="shared" si="26"/>
        <v>0</v>
      </c>
      <c r="I81" s="47"/>
      <c r="J81" s="48"/>
      <c r="K81" s="47"/>
      <c r="L81" s="249"/>
      <c r="M81" s="48">
        <f>(1500+500)*6/12*I9/($C$7+$C$9+$I$7+$I$9)</f>
        <v>0</v>
      </c>
      <c r="N81" s="36">
        <f t="shared" si="27"/>
        <v>0</v>
      </c>
      <c r="O81" s="46"/>
      <c r="P81" s="47"/>
      <c r="Q81" s="47"/>
      <c r="R81" s="249"/>
      <c r="S81" s="48"/>
      <c r="T81" s="39"/>
      <c r="U81" s="38">
        <f t="shared" si="28"/>
        <v>0</v>
      </c>
      <c r="V81" s="248"/>
      <c r="W81" s="13">
        <f>U81-'2015-1'!U81</f>
        <v>0</v>
      </c>
    </row>
    <row r="82" spans="1:23" hidden="1" outlineLevel="1" x14ac:dyDescent="0.2">
      <c r="A82" s="283"/>
      <c r="B82" s="37" t="s">
        <v>331</v>
      </c>
      <c r="C82" s="47"/>
      <c r="D82" s="48"/>
      <c r="E82" s="47"/>
      <c r="F82" s="249"/>
      <c r="G82" s="48">
        <f>1600*C9/($C$7+$C$9+$I$7+$I$9)</f>
        <v>0</v>
      </c>
      <c r="H82" s="36">
        <f t="shared" si="26"/>
        <v>0</v>
      </c>
      <c r="I82" s="47"/>
      <c r="J82" s="48"/>
      <c r="K82" s="47"/>
      <c r="L82" s="249"/>
      <c r="M82" s="48">
        <f>1600*I9/($C$7+$C$9+$I$7+$I$9)</f>
        <v>0</v>
      </c>
      <c r="N82" s="36">
        <f t="shared" si="27"/>
        <v>0</v>
      </c>
      <c r="O82" s="46"/>
      <c r="P82" s="47"/>
      <c r="Q82" s="47"/>
      <c r="R82" s="249"/>
      <c r="S82" s="48"/>
      <c r="T82" s="39"/>
      <c r="U82" s="38">
        <f t="shared" si="28"/>
        <v>0</v>
      </c>
      <c r="V82" s="248"/>
      <c r="W82" s="13">
        <f>U82-'2015-1'!U82</f>
        <v>0</v>
      </c>
    </row>
    <row r="83" spans="1:23" hidden="1" outlineLevel="1" x14ac:dyDescent="0.2">
      <c r="A83" s="283"/>
      <c r="B83" s="37" t="s">
        <v>334</v>
      </c>
      <c r="C83" s="49">
        <f>9000*C9/($C$7+$C$9+$I$7+$I$9)</f>
        <v>0</v>
      </c>
      <c r="D83" s="252">
        <f>$D$6</f>
        <v>0.78900000000000003</v>
      </c>
      <c r="E83" s="46"/>
      <c r="F83" s="37"/>
      <c r="G83" s="247">
        <f>C83*D83</f>
        <v>0</v>
      </c>
      <c r="H83" s="36">
        <f t="shared" si="26"/>
        <v>0</v>
      </c>
      <c r="I83" s="49">
        <f>9000*I9/($C$7+$C$9+$I$7+$I$9)</f>
        <v>0</v>
      </c>
      <c r="J83" s="252">
        <f>D83</f>
        <v>0.78900000000000003</v>
      </c>
      <c r="K83" s="46"/>
      <c r="L83" s="37"/>
      <c r="M83" s="247">
        <f>I83*J83</f>
        <v>0</v>
      </c>
      <c r="N83" s="36">
        <f t="shared" si="27"/>
        <v>0</v>
      </c>
      <c r="O83" s="46"/>
      <c r="P83" s="47"/>
      <c r="Q83" s="47"/>
      <c r="R83" s="249"/>
      <c r="S83" s="48"/>
      <c r="T83" s="39"/>
      <c r="U83" s="38">
        <f t="shared" si="28"/>
        <v>0</v>
      </c>
      <c r="V83" s="248"/>
      <c r="W83" s="13">
        <f>U83-'2015-1'!U83</f>
        <v>0</v>
      </c>
    </row>
    <row r="84" spans="1:23" hidden="1" outlineLevel="1" x14ac:dyDescent="0.2">
      <c r="A84" s="283"/>
      <c r="B84" s="37" t="s">
        <v>358</v>
      </c>
      <c r="C84" s="49">
        <f>1000*C9/($C$7+$C$9+$I$7+$I$9)</f>
        <v>0</v>
      </c>
      <c r="D84" s="252">
        <f>J6</f>
        <v>1.88</v>
      </c>
      <c r="E84" s="46"/>
      <c r="F84" s="37"/>
      <c r="G84" s="247">
        <f>C84*D84</f>
        <v>0</v>
      </c>
      <c r="H84" s="36">
        <f t="shared" si="26"/>
        <v>0</v>
      </c>
      <c r="I84" s="49">
        <f>1000*I9/($C$7+$C$9+$I$7+$I$9)</f>
        <v>0</v>
      </c>
      <c r="J84" s="252">
        <f>D84</f>
        <v>1.88</v>
      </c>
      <c r="K84" s="46"/>
      <c r="L84" s="37"/>
      <c r="M84" s="247">
        <f>I84*J84</f>
        <v>0</v>
      </c>
      <c r="N84" s="36">
        <f t="shared" si="27"/>
        <v>0</v>
      </c>
      <c r="O84" s="46"/>
      <c r="P84" s="47"/>
      <c r="Q84" s="47"/>
      <c r="R84" s="249"/>
      <c r="S84" s="48"/>
      <c r="T84" s="39"/>
      <c r="U84" s="38">
        <f t="shared" si="28"/>
        <v>0</v>
      </c>
      <c r="V84" s="248"/>
      <c r="W84" s="13">
        <f>U84-'2015-1'!U84</f>
        <v>0</v>
      </c>
    </row>
    <row r="85" spans="1:23" collapsed="1" x14ac:dyDescent="0.2">
      <c r="A85" s="283"/>
      <c r="B85" s="37" t="s">
        <v>359</v>
      </c>
      <c r="C85" s="47"/>
      <c r="D85" s="48"/>
      <c r="E85" s="47"/>
      <c r="F85" s="249"/>
      <c r="G85" s="247">
        <f>$U$5*0.025*C79/($C$79+$I$79)</f>
        <v>5045.1410631229237</v>
      </c>
      <c r="H85" s="36">
        <f t="shared" si="26"/>
        <v>16.817136877076411</v>
      </c>
      <c r="I85" s="47"/>
      <c r="J85" s="48"/>
      <c r="K85" s="47"/>
      <c r="L85" s="249"/>
      <c r="M85" s="247">
        <f>$U$5*0.025*I79/($C$79+$I$79)</f>
        <v>16.817136877076411</v>
      </c>
      <c r="N85" s="36">
        <f t="shared" si="27"/>
        <v>16.817136877076411</v>
      </c>
      <c r="O85" s="46"/>
      <c r="P85" s="47"/>
      <c r="Q85" s="47"/>
      <c r="R85" s="249"/>
      <c r="S85" s="48"/>
      <c r="T85" s="39"/>
      <c r="U85" s="38">
        <f t="shared" si="28"/>
        <v>5061.9582</v>
      </c>
      <c r="V85" s="248"/>
      <c r="W85" s="13">
        <f>U85-'2015-1'!U85</f>
        <v>0</v>
      </c>
    </row>
    <row r="86" spans="1:23" x14ac:dyDescent="0.2">
      <c r="A86" s="283"/>
      <c r="B86" s="37" t="s">
        <v>350</v>
      </c>
      <c r="C86" s="47"/>
      <c r="D86" s="48"/>
      <c r="E86" s="47"/>
      <c r="F86" s="249"/>
      <c r="G86" s="247">
        <f>G8-SUM(G79:G85)</f>
        <v>1641.8589368770763</v>
      </c>
      <c r="H86" s="36">
        <f t="shared" si="26"/>
        <v>5.472863122923588</v>
      </c>
      <c r="I86" s="47"/>
      <c r="J86" s="48"/>
      <c r="K86" s="47"/>
      <c r="L86" s="249"/>
      <c r="M86" s="247">
        <f>M8-SUM(M79:M85)</f>
        <v>5.472863122923588</v>
      </c>
      <c r="N86" s="36">
        <f t="shared" si="27"/>
        <v>5.472863122923588</v>
      </c>
      <c r="O86" s="46"/>
      <c r="P86" s="47"/>
      <c r="Q86" s="47"/>
      <c r="R86" s="249"/>
      <c r="S86" s="48"/>
      <c r="T86" s="39"/>
      <c r="U86" s="38">
        <f t="shared" si="28"/>
        <v>1647.3317999999999</v>
      </c>
      <c r="V86" s="248"/>
      <c r="W86" s="13">
        <f>U86-'2015-1'!U86</f>
        <v>0</v>
      </c>
    </row>
    <row r="87" spans="1:23" s="1" customFormat="1" x14ac:dyDescent="0.2">
      <c r="A87" s="284"/>
      <c r="B87" s="58" t="s">
        <v>357</v>
      </c>
      <c r="C87" s="59"/>
      <c r="D87" s="59"/>
      <c r="E87" s="59"/>
      <c r="F87" s="58"/>
      <c r="G87" s="255">
        <f>SUM(G78:G86)</f>
        <v>8925</v>
      </c>
      <c r="H87" s="257">
        <f>SUM(H78:H86)</f>
        <v>29.75</v>
      </c>
      <c r="I87" s="59"/>
      <c r="J87" s="59"/>
      <c r="K87" s="59"/>
      <c r="L87" s="58"/>
      <c r="M87" s="255">
        <f>SUM(M78:M86)</f>
        <v>29.75</v>
      </c>
      <c r="N87" s="257">
        <f>SUM(N78:N86)</f>
        <v>29.75</v>
      </c>
      <c r="O87" s="59"/>
      <c r="P87" s="59"/>
      <c r="Q87" s="59"/>
      <c r="R87" s="58"/>
      <c r="S87" s="255">
        <f>SUM(S78:S86)</f>
        <v>0</v>
      </c>
      <c r="T87" s="257">
        <f>SUM(T78:T86)</f>
        <v>0</v>
      </c>
      <c r="U87" s="343">
        <f>SUM(U78:U86)</f>
        <v>8954.75</v>
      </c>
      <c r="V87" s="248" t="e">
        <f>#REF!-#REF!-#REF!-#REF!</f>
        <v>#REF!</v>
      </c>
      <c r="W87" s="13">
        <f>U87-'2015-1'!U87</f>
        <v>0</v>
      </c>
    </row>
    <row r="88" spans="1:23" s="1" customFormat="1" ht="13.5" thickBot="1" x14ac:dyDescent="0.25">
      <c r="A88" s="298"/>
      <c r="B88" s="299" t="s">
        <v>360</v>
      </c>
      <c r="C88" s="300"/>
      <c r="D88" s="300"/>
      <c r="E88" s="300"/>
      <c r="F88" s="299"/>
      <c r="G88" s="301">
        <f>G53+G65+G68+G77+G87</f>
        <v>670335.72144067334</v>
      </c>
      <c r="H88" s="302"/>
      <c r="I88" s="300"/>
      <c r="J88" s="300"/>
      <c r="K88" s="300"/>
      <c r="L88" s="299"/>
      <c r="M88" s="301">
        <f>M53+M65+M68+M77+M87</f>
        <v>90300.350000089529</v>
      </c>
      <c r="N88" s="302"/>
      <c r="O88" s="300"/>
      <c r="P88" s="300"/>
      <c r="Q88" s="300"/>
      <c r="R88" s="299"/>
      <c r="S88" s="301">
        <f>S53+S65+S68+S77+S87</f>
        <v>50406</v>
      </c>
      <c r="T88" s="302"/>
      <c r="U88" s="468">
        <f>U53+U65+U68+U77+U87</f>
        <v>811042.07144076272</v>
      </c>
      <c r="V88" s="248" t="e">
        <f>#REF!-#REF!-#REF!-#REF!</f>
        <v>#REF!</v>
      </c>
      <c r="W88" s="13">
        <f>U88-'2015-1'!U88</f>
        <v>46109.122444934095</v>
      </c>
    </row>
    <row r="89" spans="1:23" hidden="1" outlineLevel="1" x14ac:dyDescent="0.2">
      <c r="A89" s="268"/>
      <c r="B89" s="46"/>
      <c r="C89" s="47"/>
      <c r="D89" s="48"/>
      <c r="E89" s="47"/>
      <c r="F89" s="47"/>
      <c r="G89" s="247">
        <f>G88-G10</f>
        <v>1.4406733680516481E-3</v>
      </c>
      <c r="H89" s="247">
        <f>H7-H77</f>
        <v>0</v>
      </c>
      <c r="I89" s="247"/>
      <c r="J89" s="247"/>
      <c r="K89" s="247">
        <f>K7-K77</f>
        <v>0</v>
      </c>
      <c r="L89" s="247">
        <f>L7-L77</f>
        <v>0</v>
      </c>
      <c r="M89" s="247">
        <f>M88-M10</f>
        <v>8.9523382484912872E-8</v>
      </c>
      <c r="N89" s="247">
        <f>N7-N77</f>
        <v>0</v>
      </c>
      <c r="O89" s="247">
        <f>O7-O77</f>
        <v>0</v>
      </c>
      <c r="P89" s="247">
        <f>P7-P77</f>
        <v>0</v>
      </c>
      <c r="Q89" s="247">
        <f>Q7-Q77</f>
        <v>0</v>
      </c>
      <c r="R89" s="247">
        <f>R7-R77</f>
        <v>0</v>
      </c>
      <c r="S89" s="247">
        <f>S88-S10</f>
        <v>0</v>
      </c>
      <c r="T89" s="247">
        <f>T7-T77</f>
        <v>0</v>
      </c>
      <c r="U89" s="247">
        <f>U88-U10</f>
        <v>1.4407627750188112E-3</v>
      </c>
      <c r="V89" s="248"/>
    </row>
    <row r="90" spans="1:23" hidden="1" outlineLevel="1" x14ac:dyDescent="0.2">
      <c r="A90" s="268"/>
      <c r="B90" s="46"/>
      <c r="C90" s="47"/>
      <c r="D90" s="48"/>
      <c r="E90" s="47"/>
      <c r="F90" s="332">
        <f>G90/G65</f>
        <v>0</v>
      </c>
      <c r="G90" s="247">
        <f>G8-G87</f>
        <v>0</v>
      </c>
      <c r="H90" s="263"/>
      <c r="I90" s="47"/>
      <c r="J90" s="48"/>
      <c r="K90" s="47"/>
      <c r="L90" s="332">
        <f>M90/M65</f>
        <v>0</v>
      </c>
      <c r="M90" s="247">
        <f>M8-M87</f>
        <v>0</v>
      </c>
      <c r="N90" s="49"/>
      <c r="O90" s="46"/>
      <c r="P90" s="47"/>
      <c r="Q90" s="47"/>
      <c r="R90" s="47"/>
      <c r="S90" s="48"/>
      <c r="T90" s="332">
        <f>U90/U65</f>
        <v>0</v>
      </c>
      <c r="U90" s="247">
        <f>U8-U87</f>
        <v>0</v>
      </c>
      <c r="V90" s="248"/>
    </row>
    <row r="91" spans="1:23" hidden="1" outlineLevel="1" x14ac:dyDescent="0.2">
      <c r="A91" s="268"/>
      <c r="B91" s="46"/>
      <c r="C91" s="47"/>
      <c r="D91" s="48"/>
      <c r="E91" s="47"/>
      <c r="F91" s="332"/>
      <c r="G91" s="247">
        <f t="shared" ref="G91:U91" si="29">G88-G10</f>
        <v>1.4406733680516481E-3</v>
      </c>
      <c r="H91" s="247">
        <f t="shared" si="29"/>
        <v>0</v>
      </c>
      <c r="I91" s="247">
        <f t="shared" si="29"/>
        <v>0</v>
      </c>
      <c r="J91" s="247">
        <f t="shared" si="29"/>
        <v>0</v>
      </c>
      <c r="K91" s="247">
        <f t="shared" si="29"/>
        <v>0</v>
      </c>
      <c r="L91" s="247">
        <f t="shared" si="29"/>
        <v>0</v>
      </c>
      <c r="M91" s="247">
        <f t="shared" si="29"/>
        <v>8.9523382484912872E-8</v>
      </c>
      <c r="N91" s="247">
        <f t="shared" si="29"/>
        <v>0</v>
      </c>
      <c r="O91" s="247">
        <f t="shared" si="29"/>
        <v>0</v>
      </c>
      <c r="P91" s="247">
        <f t="shared" si="29"/>
        <v>0</v>
      </c>
      <c r="Q91" s="247">
        <f t="shared" si="29"/>
        <v>0</v>
      </c>
      <c r="R91" s="247">
        <f t="shared" si="29"/>
        <v>0</v>
      </c>
      <c r="S91" s="247">
        <f t="shared" si="29"/>
        <v>0</v>
      </c>
      <c r="T91" s="247">
        <f t="shared" si="29"/>
        <v>0</v>
      </c>
      <c r="U91" s="247">
        <f t="shared" si="29"/>
        <v>1.4407627750188112E-3</v>
      </c>
      <c r="V91" s="248"/>
    </row>
    <row r="92" spans="1:23" collapsed="1" x14ac:dyDescent="0.2"/>
  </sheetData>
  <autoFilter ref="A2:H53"/>
  <phoneticPr fontId="3" type="noConversion"/>
  <printOptions horizontalCentered="1"/>
  <pageMargins left="0" right="0" top="0.39370078740157483" bottom="0.39370078740157483" header="0.31496062992125984" footer="0.31496062992125984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штат (2)</vt:lpstr>
      <vt:lpstr>Дошка оголошень</vt:lpstr>
      <vt:lpstr>расчет</vt:lpstr>
      <vt:lpstr>штат</vt:lpstr>
      <vt:lpstr>кошторис</vt:lpstr>
      <vt:lpstr>структура</vt:lpstr>
      <vt:lpstr>2014</vt:lpstr>
      <vt:lpstr>2015-1</vt:lpstr>
      <vt:lpstr>2015-2</vt:lpstr>
      <vt:lpstr>Sheet2</vt:lpstr>
      <vt:lpstr>расчет тарифа</vt:lpstr>
      <vt:lpstr>ЖЕК</vt:lpstr>
      <vt:lpstr>'расчет тарифа'!Print_Titles</vt:lpstr>
    </vt:vector>
  </TitlesOfParts>
  <Company>Dnsoft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KM R</cp:lastModifiedBy>
  <cp:lastPrinted>2015-03-20T21:55:57Z</cp:lastPrinted>
  <dcterms:created xsi:type="dcterms:W3CDTF">2013-11-16T12:05:02Z</dcterms:created>
  <dcterms:modified xsi:type="dcterms:W3CDTF">2015-04-15T22:08:43Z</dcterms:modified>
</cp:coreProperties>
</file>